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вс  УКГ\Desktop\2024\Відкриті дані\"/>
    </mc:Choice>
  </mc:AlternateContent>
  <xr:revisionPtr revIDLastSave="0" documentId="13_ncr:1_{BCF593C5-5CA2-42BA-9301-3C0753713863}" xr6:coauthVersionLast="37" xr6:coauthVersionMax="37" xr10:uidLastSave="{00000000-0000-0000-0000-000000000000}"/>
  <bookViews>
    <workbookView xWindow="0" yWindow="0" windowWidth="28800" windowHeight="12225" tabRatio="789" xr2:uid="{00000000-000D-0000-FFFF-FFFF00000000}"/>
  </bookViews>
  <sheets>
    <sheet name="грудень 23" sheetId="65" r:id="rId1"/>
    <sheet name="липень 2022 (2)" sheetId="24" state="hidden" r:id="rId2"/>
    <sheet name="липень 2022" sheetId="22" state="hidden" r:id="rId3"/>
  </sheets>
  <definedNames>
    <definedName name="_xlnm.Print_Titles" localSheetId="2">'липень 2022'!$1:$3</definedName>
    <definedName name="_xlnm.Print_Titles" localSheetId="1">'липень 2022 (2)'!$1:$3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8" i="65" l="1"/>
  <c r="A69" i="65" s="1"/>
  <c r="A70" i="65" s="1"/>
  <c r="A71" i="65" s="1"/>
  <c r="A72" i="65" s="1"/>
  <c r="A73" i="65" s="1"/>
  <c r="A74" i="65" s="1"/>
  <c r="A75" i="65" s="1"/>
  <c r="A76" i="65" s="1"/>
  <c r="A78" i="65" s="1"/>
  <c r="A79" i="65" s="1"/>
  <c r="A80" i="65" s="1"/>
  <c r="A81" i="65" s="1"/>
  <c r="A82" i="65" s="1"/>
  <c r="A83" i="65" s="1"/>
  <c r="A84" i="65" s="1"/>
  <c r="A85" i="65" s="1"/>
  <c r="A86" i="65" s="1"/>
  <c r="A87" i="65" s="1"/>
  <c r="A88" i="65" s="1"/>
  <c r="A89" i="65" s="1"/>
  <c r="A90" i="65" s="1"/>
  <c r="A91" i="65" s="1"/>
  <c r="A92" i="65" s="1"/>
  <c r="A93" i="65" s="1"/>
  <c r="A94" i="65" s="1"/>
  <c r="A95" i="65" s="1"/>
  <c r="A96" i="65" s="1"/>
  <c r="A97" i="65" s="1"/>
  <c r="A98" i="65" s="1"/>
  <c r="A99" i="65" s="1"/>
  <c r="A100" i="65" s="1"/>
  <c r="A101" i="65" s="1"/>
  <c r="A66" i="65"/>
  <c r="A12" i="65" l="1"/>
  <c r="A13" i="65" s="1"/>
  <c r="A14" i="65" s="1"/>
  <c r="A15" i="65" s="1"/>
  <c r="A16" i="65" s="1"/>
  <c r="A17" i="65" s="1"/>
  <c r="A18" i="65" s="1"/>
  <c r="A19" i="65" s="1"/>
  <c r="A20" i="65" s="1"/>
  <c r="A21" i="65" s="1"/>
  <c r="A22" i="65" s="1"/>
  <c r="A23" i="65" s="1"/>
  <c r="A24" i="65" s="1"/>
  <c r="A25" i="65" s="1"/>
  <c r="A26" i="65" s="1"/>
  <c r="A27" i="65" s="1"/>
  <c r="A28" i="65" s="1"/>
  <c r="A29" i="65" s="1"/>
  <c r="A30" i="65" l="1"/>
  <c r="A31" i="65" s="1"/>
  <c r="A32" i="65" s="1"/>
  <c r="A33" i="65" s="1"/>
  <c r="A34" i="65" s="1"/>
  <c r="A35" i="65" s="1"/>
  <c r="A36" i="65" s="1"/>
  <c r="A37" i="65" s="1"/>
  <c r="A38" i="65" s="1"/>
  <c r="A39" i="65" s="1"/>
  <c r="A40" i="65" s="1"/>
  <c r="A41" i="65" s="1"/>
  <c r="A42" i="65" s="1"/>
  <c r="A43" i="65" s="1"/>
  <c r="A44" i="65" s="1"/>
  <c r="A45" i="65" s="1"/>
  <c r="A46" i="65" s="1"/>
  <c r="A47" i="65" s="1"/>
  <c r="A48" i="65" s="1"/>
  <c r="A49" i="65" s="1"/>
  <c r="A50" i="65" s="1"/>
  <c r="A51" i="65" s="1"/>
  <c r="A52" i="65" s="1"/>
  <c r="A53" i="65" s="1"/>
  <c r="A54" i="65" s="1"/>
  <c r="A55" i="65" s="1"/>
  <c r="A56" i="65" s="1"/>
  <c r="A57" i="65" s="1"/>
  <c r="A58" i="65" s="1"/>
  <c r="A59" i="65" s="1"/>
  <c r="A60" i="65" s="1"/>
  <c r="A61" i="65" s="1"/>
  <c r="A62" i="65" s="1"/>
  <c r="A63" i="65" s="1"/>
  <c r="P87" i="65"/>
  <c r="P50" i="65" l="1"/>
  <c r="Q50" i="65"/>
  <c r="P60" i="65"/>
  <c r="Q60" i="65"/>
  <c r="P12" i="65" l="1"/>
  <c r="P57" i="65"/>
  <c r="Q57" i="65"/>
  <c r="P58" i="65"/>
  <c r="Q58" i="65"/>
  <c r="P63" i="65"/>
  <c r="Q63" i="65"/>
  <c r="P93" i="65" l="1"/>
  <c r="Q93" i="65"/>
  <c r="P74" i="65"/>
  <c r="Q74" i="65"/>
  <c r="P72" i="65"/>
  <c r="Q72" i="65"/>
  <c r="P95" i="65"/>
  <c r="Q95" i="65"/>
  <c r="P89" i="65" l="1"/>
  <c r="Q89" i="65"/>
  <c r="P99" i="65" l="1"/>
  <c r="Q99" i="65"/>
  <c r="P96" i="65"/>
  <c r="Q96" i="65"/>
  <c r="Q97" i="65"/>
  <c r="P86" i="65"/>
  <c r="Q86" i="65"/>
  <c r="P83" i="65"/>
  <c r="Q83" i="65"/>
  <c r="P68" i="65"/>
  <c r="Q68" i="65"/>
  <c r="P61" i="65"/>
  <c r="Q61" i="65"/>
  <c r="P27" i="65"/>
  <c r="Q27" i="65"/>
  <c r="P21" i="65"/>
  <c r="Q21" i="65"/>
  <c r="P22" i="65"/>
  <c r="Q22" i="65"/>
  <c r="Q14" i="65"/>
  <c r="P17" i="65"/>
  <c r="Q17" i="65"/>
  <c r="P40" i="65"/>
  <c r="Q40" i="65"/>
  <c r="P49" i="65"/>
  <c r="Q49" i="65"/>
  <c r="P18" i="65"/>
  <c r="Q18" i="65"/>
  <c r="Q19" i="65"/>
  <c r="P19" i="65"/>
  <c r="P38" i="65"/>
  <c r="Q38" i="65"/>
  <c r="P56" i="65"/>
  <c r="Q56" i="65"/>
  <c r="P14" i="65"/>
  <c r="P31" i="65"/>
  <c r="Q31" i="65"/>
  <c r="P73" i="65" l="1"/>
  <c r="Q73" i="65"/>
  <c r="P84" i="65" l="1"/>
  <c r="P75" i="65"/>
  <c r="Q87" i="65"/>
  <c r="P81" i="65" l="1"/>
  <c r="P82" i="65"/>
  <c r="Q81" i="65"/>
  <c r="P79" i="65"/>
  <c r="P100" i="65"/>
  <c r="Q100" i="65"/>
  <c r="Q75" i="65" l="1"/>
  <c r="P98" i="65"/>
  <c r="Q98" i="65"/>
  <c r="P92" i="65"/>
  <c r="Q92" i="65"/>
  <c r="P88" i="65"/>
  <c r="Q88" i="65"/>
  <c r="P91" i="65"/>
  <c r="Q91" i="65"/>
  <c r="P97" i="65"/>
  <c r="P94" i="65"/>
  <c r="Q94" i="65"/>
  <c r="Q84" i="65"/>
  <c r="P80" i="65"/>
  <c r="Q80" i="65"/>
  <c r="P85" i="65"/>
  <c r="Q85" i="65"/>
  <c r="Q79" i="65"/>
  <c r="Q82" i="65"/>
  <c r="P90" i="65"/>
  <c r="Q90" i="65"/>
  <c r="P46" i="65"/>
  <c r="Q46" i="65"/>
  <c r="P20" i="65" l="1"/>
  <c r="P106" i="65" l="1"/>
  <c r="P105" i="65"/>
  <c r="Q105" i="65"/>
  <c r="P39" i="65"/>
  <c r="Q39" i="65"/>
  <c r="Q120" i="65" l="1"/>
  <c r="P120" i="65"/>
  <c r="O120" i="65"/>
  <c r="N120" i="65"/>
  <c r="M120" i="65"/>
  <c r="L120" i="65"/>
  <c r="K120" i="65"/>
  <c r="J120" i="65"/>
  <c r="I120" i="65"/>
  <c r="H120" i="65"/>
  <c r="G120" i="65"/>
  <c r="F120" i="65"/>
  <c r="E120" i="65"/>
  <c r="D120" i="65"/>
  <c r="Q114" i="65"/>
  <c r="P114" i="65"/>
  <c r="O114" i="65"/>
  <c r="N114" i="65"/>
  <c r="M114" i="65"/>
  <c r="L114" i="65"/>
  <c r="K114" i="65"/>
  <c r="J114" i="65"/>
  <c r="G114" i="65"/>
  <c r="F114" i="65"/>
  <c r="E114" i="65"/>
  <c r="D114" i="65"/>
  <c r="Q113" i="65"/>
  <c r="P113" i="65"/>
  <c r="O113" i="65"/>
  <c r="N113" i="65"/>
  <c r="M113" i="65"/>
  <c r="L113" i="65"/>
  <c r="K113" i="65"/>
  <c r="J113" i="65"/>
  <c r="I113" i="65"/>
  <c r="H113" i="65"/>
  <c r="G113" i="65"/>
  <c r="F113" i="65"/>
  <c r="F115" i="65" s="1"/>
  <c r="E113" i="65"/>
  <c r="D113" i="65"/>
  <c r="D115" i="65" s="1"/>
  <c r="I111" i="65"/>
  <c r="I114" i="65" s="1"/>
  <c r="H111" i="65"/>
  <c r="H114" i="65" s="1"/>
  <c r="Q106" i="65"/>
  <c r="Q101" i="65"/>
  <c r="P101" i="65"/>
  <c r="Q76" i="65"/>
  <c r="P76" i="65"/>
  <c r="L72" i="65"/>
  <c r="Q71" i="65"/>
  <c r="P71" i="65"/>
  <c r="Q70" i="65"/>
  <c r="P70" i="65"/>
  <c r="Q69" i="65"/>
  <c r="Q66" i="65"/>
  <c r="P66" i="65"/>
  <c r="H66" i="65"/>
  <c r="Q65" i="65"/>
  <c r="P65" i="65"/>
  <c r="O62" i="65"/>
  <c r="M62" i="65"/>
  <c r="L62" i="65"/>
  <c r="K62" i="65"/>
  <c r="J62" i="65"/>
  <c r="I62" i="65"/>
  <c r="H62" i="65"/>
  <c r="G62" i="65"/>
  <c r="D62" i="65"/>
  <c r="Q54" i="65"/>
  <c r="P54" i="65"/>
  <c r="Q52" i="65"/>
  <c r="P52" i="65"/>
  <c r="K52" i="65"/>
  <c r="Q51" i="65"/>
  <c r="P51" i="65"/>
  <c r="O51" i="65"/>
  <c r="Q48" i="65"/>
  <c r="P48" i="65"/>
  <c r="Q47" i="65"/>
  <c r="P47" i="65"/>
  <c r="G47" i="65"/>
  <c r="Q45" i="65"/>
  <c r="P45" i="65"/>
  <c r="I45" i="65"/>
  <c r="Q44" i="65"/>
  <c r="P44" i="65"/>
  <c r="G44" i="65"/>
  <c r="Q43" i="65"/>
  <c r="P43" i="65"/>
  <c r="I43" i="65"/>
  <c r="F43" i="65"/>
  <c r="E43" i="65"/>
  <c r="Q42" i="65"/>
  <c r="P42" i="65"/>
  <c r="I42" i="65"/>
  <c r="G42" i="65"/>
  <c r="E41" i="65"/>
  <c r="Q37" i="65"/>
  <c r="P37" i="65"/>
  <c r="F37" i="65"/>
  <c r="E37" i="65"/>
  <c r="Q36" i="65"/>
  <c r="P36" i="65"/>
  <c r="H36" i="65"/>
  <c r="H34" i="65" s="1"/>
  <c r="G36" i="65"/>
  <c r="F36" i="65"/>
  <c r="E36" i="65"/>
  <c r="Q35" i="65"/>
  <c r="P35" i="65"/>
  <c r="N34" i="65"/>
  <c r="M34" i="65"/>
  <c r="L34" i="65"/>
  <c r="J34" i="65"/>
  <c r="D34" i="65"/>
  <c r="Q29" i="65"/>
  <c r="P29" i="65"/>
  <c r="M26" i="65"/>
  <c r="M25" i="65"/>
  <c r="Q24" i="65"/>
  <c r="P24" i="65"/>
  <c r="Q23" i="65"/>
  <c r="P23" i="65"/>
  <c r="M23" i="65"/>
  <c r="M21" i="65"/>
  <c r="L21" i="65"/>
  <c r="Q20" i="65"/>
  <c r="J20" i="65"/>
  <c r="I20" i="65"/>
  <c r="F19" i="65"/>
  <c r="Q16" i="65"/>
  <c r="P16" i="65"/>
  <c r="L16" i="65"/>
  <c r="Q15" i="65"/>
  <c r="P15" i="65"/>
  <c r="I15" i="65"/>
  <c r="Q13" i="65"/>
  <c r="P13" i="65"/>
  <c r="E13" i="65"/>
  <c r="J12" i="65"/>
  <c r="G115" i="65" l="1"/>
  <c r="F62" i="65"/>
  <c r="E62" i="65"/>
  <c r="E34" i="65"/>
  <c r="N62" i="65"/>
  <c r="Q62" i="65"/>
  <c r="L115" i="65"/>
  <c r="F34" i="65"/>
  <c r="K34" i="65"/>
  <c r="O34" i="65"/>
  <c r="I34" i="65"/>
  <c r="P115" i="65"/>
  <c r="J115" i="65"/>
  <c r="N115" i="65"/>
  <c r="Q115" i="65"/>
  <c r="G34" i="65"/>
  <c r="E115" i="65"/>
  <c r="H115" i="65"/>
  <c r="K115" i="65"/>
  <c r="M115" i="65"/>
  <c r="O115" i="65"/>
  <c r="Q34" i="65"/>
  <c r="I115" i="65"/>
  <c r="Y40" i="24" l="1"/>
  <c r="Y32" i="24"/>
  <c r="Y31" i="24"/>
  <c r="Y42" i="24"/>
  <c r="R9" i="24" l="1"/>
  <c r="R6" i="24"/>
  <c r="J9" i="24"/>
  <c r="J6" i="24"/>
  <c r="Y9" i="24" l="1"/>
  <c r="AD13" i="24" l="1"/>
  <c r="AC14" i="24"/>
  <c r="AD14" i="24" s="1"/>
  <c r="AC12" i="24"/>
  <c r="M45" i="24"/>
  <c r="J45" i="24"/>
  <c r="S44" i="24"/>
  <c r="J44" i="24"/>
  <c r="S42" i="24"/>
  <c r="P42" i="24"/>
  <c r="O42" i="24"/>
  <c r="M42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T37" i="24"/>
  <c r="T34" i="24" s="1"/>
  <c r="S37" i="24"/>
  <c r="S34" i="24" s="1"/>
  <c r="K37" i="24"/>
  <c r="R36" i="24"/>
  <c r="Q36" i="24"/>
  <c r="P36" i="24"/>
  <c r="P34" i="24" s="1"/>
  <c r="N36" i="24"/>
  <c r="N34" i="24" s="1"/>
  <c r="M36" i="24"/>
  <c r="L36" i="24"/>
  <c r="K36" i="24"/>
  <c r="R35" i="24"/>
  <c r="Q35" i="24"/>
  <c r="L35" i="24"/>
  <c r="L34" i="24" s="1"/>
  <c r="K35" i="24"/>
  <c r="O34" i="24"/>
  <c r="M34" i="24"/>
  <c r="J34" i="24"/>
  <c r="I34" i="24"/>
  <c r="L33" i="24"/>
  <c r="L30" i="24" s="1"/>
  <c r="T32" i="24"/>
  <c r="N32" i="24"/>
  <c r="T31" i="24"/>
  <c r="N31" i="24"/>
  <c r="S30" i="24"/>
  <c r="R30" i="24"/>
  <c r="Q30" i="24"/>
  <c r="P30" i="24"/>
  <c r="O30" i="24"/>
  <c r="M30" i="24"/>
  <c r="K30" i="24"/>
  <c r="J30" i="24"/>
  <c r="I30" i="24"/>
  <c r="T28" i="24"/>
  <c r="T21" i="24" s="1"/>
  <c r="S28" i="24"/>
  <c r="O27" i="24"/>
  <c r="O21" i="24" s="1"/>
  <c r="N26" i="24"/>
  <c r="N21" i="24" s="1"/>
  <c r="S24" i="24"/>
  <c r="R21" i="24"/>
  <c r="Q21" i="24"/>
  <c r="P21" i="24"/>
  <c r="M21" i="24"/>
  <c r="L21" i="24"/>
  <c r="K21" i="24"/>
  <c r="J21" i="24"/>
  <c r="I21" i="24"/>
  <c r="S20" i="24"/>
  <c r="R20" i="24"/>
  <c r="K19" i="24"/>
  <c r="K18" i="24"/>
  <c r="J18" i="24"/>
  <c r="S17" i="24"/>
  <c r="R17" i="24"/>
  <c r="P17" i="24"/>
  <c r="P15" i="24"/>
  <c r="O15" i="24"/>
  <c r="M15" i="24"/>
  <c r="N14" i="24"/>
  <c r="T13" i="24"/>
  <c r="S12" i="24"/>
  <c r="R12" i="24"/>
  <c r="M12" i="24"/>
  <c r="K12" i="24"/>
  <c r="J12" i="24"/>
  <c r="S11" i="24"/>
  <c r="R11" i="24"/>
  <c r="J11" i="24"/>
  <c r="I11" i="24"/>
  <c r="S10" i="24"/>
  <c r="R10" i="24"/>
  <c r="N10" i="24"/>
  <c r="T9" i="24"/>
  <c r="S9" i="24"/>
  <c r="O9" i="24"/>
  <c r="N9" i="24"/>
  <c r="M9" i="24"/>
  <c r="R8" i="24"/>
  <c r="O8" i="24"/>
  <c r="N8" i="24"/>
  <c r="M8" i="24"/>
  <c r="L8" i="24"/>
  <c r="K8" i="24"/>
  <c r="J8" i="24"/>
  <c r="T7" i="24"/>
  <c r="S7" i="24"/>
  <c r="R7" i="24"/>
  <c r="N7" i="24"/>
  <c r="M7" i="24"/>
  <c r="T6" i="24"/>
  <c r="Q6" i="24"/>
  <c r="P6" i="24"/>
  <c r="O6" i="24"/>
  <c r="Q34" i="24" l="1"/>
  <c r="K34" i="24"/>
  <c r="R34" i="24"/>
  <c r="N30" i="24"/>
  <c r="AC11" i="24"/>
  <c r="S21" i="24"/>
  <c r="T30" i="24"/>
  <c r="H7" i="24"/>
  <c r="U8" i="24"/>
  <c r="U10" i="24"/>
  <c r="U12" i="24"/>
  <c r="U13" i="24"/>
  <c r="U14" i="24"/>
  <c r="H15" i="24"/>
  <c r="U16" i="24"/>
  <c r="U17" i="24"/>
  <c r="AA17" i="24" s="1"/>
  <c r="H18" i="24"/>
  <c r="U19" i="24"/>
  <c r="U20" i="24"/>
  <c r="AA20" i="24" s="1"/>
  <c r="U22" i="24"/>
  <c r="AA22" i="24" s="1"/>
  <c r="H23" i="24"/>
  <c r="P51" i="24"/>
  <c r="T51" i="24"/>
  <c r="U24" i="24"/>
  <c r="AA24" i="24" s="1"/>
  <c r="U25" i="24"/>
  <c r="AA25" i="24" s="1"/>
  <c r="H28" i="24"/>
  <c r="U29" i="24"/>
  <c r="U31" i="24"/>
  <c r="U32" i="24"/>
  <c r="H33" i="24"/>
  <c r="U35" i="24"/>
  <c r="U37" i="24"/>
  <c r="H38" i="24"/>
  <c r="P48" i="24"/>
  <c r="U40" i="24"/>
  <c r="U41" i="24"/>
  <c r="L47" i="24"/>
  <c r="P47" i="24"/>
  <c r="T47" i="24"/>
  <c r="U43" i="24"/>
  <c r="AA43" i="24" s="1"/>
  <c r="P49" i="24"/>
  <c r="U45" i="24"/>
  <c r="U6" i="24"/>
  <c r="Q46" i="24"/>
  <c r="X296" i="24"/>
  <c r="T296" i="24"/>
  <c r="S296" i="24"/>
  <c r="R296" i="24"/>
  <c r="Q296" i="24"/>
  <c r="P296" i="24"/>
  <c r="O296" i="24"/>
  <c r="N296" i="24"/>
  <c r="M296" i="24"/>
  <c r="L296" i="24"/>
  <c r="K296" i="24"/>
  <c r="J296" i="24"/>
  <c r="I296" i="24"/>
  <c r="Y295" i="24"/>
  <c r="W295" i="24"/>
  <c r="V295" i="24"/>
  <c r="J295" i="24"/>
  <c r="J294" i="24"/>
  <c r="Y291" i="24"/>
  <c r="X291" i="24"/>
  <c r="W291" i="24"/>
  <c r="V291" i="24"/>
  <c r="T291" i="24"/>
  <c r="S291" i="24"/>
  <c r="R291" i="24"/>
  <c r="Q291" i="24"/>
  <c r="P291" i="24"/>
  <c r="O291" i="24"/>
  <c r="N291" i="24"/>
  <c r="M291" i="24"/>
  <c r="L291" i="24"/>
  <c r="K291" i="24"/>
  <c r="J291" i="24"/>
  <c r="I291" i="24"/>
  <c r="X290" i="24"/>
  <c r="T290" i="24"/>
  <c r="S290" i="24"/>
  <c r="R290" i="24"/>
  <c r="Q290" i="24"/>
  <c r="P290" i="24"/>
  <c r="O290" i="24"/>
  <c r="N290" i="24"/>
  <c r="M290" i="24"/>
  <c r="L290" i="24"/>
  <c r="K290" i="24"/>
  <c r="J290" i="24"/>
  <c r="I290" i="24"/>
  <c r="Y289" i="24"/>
  <c r="W289" i="24"/>
  <c r="V289" i="24"/>
  <c r="T289" i="24"/>
  <c r="S289" i="24"/>
  <c r="R289" i="24"/>
  <c r="Q289" i="24"/>
  <c r="P289" i="24"/>
  <c r="O289" i="24"/>
  <c r="N289" i="24"/>
  <c r="M289" i="24"/>
  <c r="L289" i="24"/>
  <c r="K289" i="24"/>
  <c r="J289" i="24"/>
  <c r="I289" i="24"/>
  <c r="Z288" i="24"/>
  <c r="Z291" i="24" s="1"/>
  <c r="U288" i="24"/>
  <c r="H288" i="24"/>
  <c r="G291" i="24" s="1"/>
  <c r="Y287" i="24"/>
  <c r="W287" i="24"/>
  <c r="V287" i="24"/>
  <c r="V290" i="24" s="1"/>
  <c r="U287" i="24"/>
  <c r="H287" i="24"/>
  <c r="Y286" i="24"/>
  <c r="U286" i="24"/>
  <c r="H286" i="24"/>
  <c r="Z285" i="24"/>
  <c r="U285" i="24"/>
  <c r="AA285" i="24" s="1"/>
  <c r="Z284" i="24"/>
  <c r="U284" i="24"/>
  <c r="AA284" i="24" s="1"/>
  <c r="Y283" i="24"/>
  <c r="U283" i="24"/>
  <c r="H283" i="24"/>
  <c r="Z282" i="24"/>
  <c r="U282" i="24"/>
  <c r="H282" i="24"/>
  <c r="Z281" i="24"/>
  <c r="X281" i="24"/>
  <c r="U281" i="24"/>
  <c r="AA281" i="24" s="1"/>
  <c r="H281" i="24"/>
  <c r="Z280" i="24"/>
  <c r="Z289" i="24" s="1"/>
  <c r="X280" i="24"/>
  <c r="U280" i="24"/>
  <c r="AA280" i="24" s="1"/>
  <c r="AA289" i="24" s="1"/>
  <c r="H280" i="24"/>
  <c r="G289" i="24" s="1"/>
  <c r="AA279" i="24"/>
  <c r="H279" i="24"/>
  <c r="T276" i="24"/>
  <c r="O276" i="24"/>
  <c r="K276" i="24"/>
  <c r="J276" i="24"/>
  <c r="T275" i="24"/>
  <c r="S275" i="24"/>
  <c r="Y274" i="24"/>
  <c r="W274" i="24"/>
  <c r="V274" i="24"/>
  <c r="R274" i="24"/>
  <c r="R275" i="24" s="1"/>
  <c r="Q274" i="24"/>
  <c r="P274" i="24"/>
  <c r="P275" i="24" s="1"/>
  <c r="O274" i="24"/>
  <c r="O275" i="24" s="1"/>
  <c r="N274" i="24"/>
  <c r="L274" i="24"/>
  <c r="K274" i="24"/>
  <c r="J274" i="24"/>
  <c r="J275" i="24" s="1"/>
  <c r="I274" i="24"/>
  <c r="Y273" i="24"/>
  <c r="W273" i="24"/>
  <c r="V273" i="24"/>
  <c r="Q273" i="24"/>
  <c r="N273" i="24"/>
  <c r="M273" i="24"/>
  <c r="M275" i="24" s="1"/>
  <c r="L273" i="24"/>
  <c r="K273" i="24"/>
  <c r="I273" i="24"/>
  <c r="Z272" i="24"/>
  <c r="X272" i="24"/>
  <c r="U272" i="24"/>
  <c r="AA272" i="24" s="1"/>
  <c r="H272" i="24"/>
  <c r="Z271" i="24"/>
  <c r="X271" i="24"/>
  <c r="U271" i="24"/>
  <c r="AA271" i="24" s="1"/>
  <c r="P271" i="24"/>
  <c r="AE270" i="24"/>
  <c r="Y270" i="24"/>
  <c r="W270" i="24"/>
  <c r="V270" i="24"/>
  <c r="S270" i="24"/>
  <c r="S276" i="24" s="1"/>
  <c r="R270" i="24"/>
  <c r="R276" i="24" s="1"/>
  <c r="Q270" i="24"/>
  <c r="Q276" i="24" s="1"/>
  <c r="N270" i="24"/>
  <c r="N276" i="24" s="1"/>
  <c r="M270" i="24"/>
  <c r="M276" i="24" s="1"/>
  <c r="L270" i="24"/>
  <c r="L276" i="24" s="1"/>
  <c r="I270" i="24"/>
  <c r="Y269" i="24"/>
  <c r="W269" i="24"/>
  <c r="V269" i="24"/>
  <c r="I269" i="24"/>
  <c r="H269" i="24" s="1"/>
  <c r="Y267" i="24"/>
  <c r="W267" i="24"/>
  <c r="V267" i="24"/>
  <c r="T267" i="24"/>
  <c r="S267" i="24"/>
  <c r="R267" i="24"/>
  <c r="Q267" i="24"/>
  <c r="P267" i="24"/>
  <c r="O267" i="24"/>
  <c r="N267" i="24"/>
  <c r="M267" i="24"/>
  <c r="L267" i="24"/>
  <c r="K267" i="24"/>
  <c r="J267" i="24"/>
  <c r="I267" i="24"/>
  <c r="Y265" i="24"/>
  <c r="W265" i="24"/>
  <c r="V265" i="24"/>
  <c r="T265" i="24"/>
  <c r="S265" i="24"/>
  <c r="R265" i="24"/>
  <c r="Q265" i="24"/>
  <c r="P265" i="24"/>
  <c r="O265" i="24"/>
  <c r="N265" i="24"/>
  <c r="M265" i="24"/>
  <c r="L265" i="24"/>
  <c r="K265" i="24"/>
  <c r="J265" i="24"/>
  <c r="I265" i="24"/>
  <c r="W264" i="24"/>
  <c r="V264" i="24"/>
  <c r="T264" i="24"/>
  <c r="S264" i="24"/>
  <c r="R264" i="24"/>
  <c r="Q264" i="24"/>
  <c r="P264" i="24"/>
  <c r="O264" i="24"/>
  <c r="N264" i="24"/>
  <c r="M264" i="24"/>
  <c r="L264" i="24"/>
  <c r="K264" i="24"/>
  <c r="J264" i="24"/>
  <c r="I264" i="24"/>
  <c r="Z263" i="24"/>
  <c r="Z267" i="24" s="1"/>
  <c r="X263" i="24"/>
  <c r="X267" i="24" s="1"/>
  <c r="U263" i="24"/>
  <c r="AA263" i="24" s="1"/>
  <c r="AA267" i="24" s="1"/>
  <c r="H263" i="24"/>
  <c r="H267" i="24" s="1"/>
  <c r="Z262" i="24"/>
  <c r="Z265" i="24" s="1"/>
  <c r="X262" i="24"/>
  <c r="X265" i="24" s="1"/>
  <c r="U262" i="24"/>
  <c r="H262" i="24"/>
  <c r="Z261" i="24"/>
  <c r="X261" i="24"/>
  <c r="U261" i="24"/>
  <c r="AA261" i="24" s="1"/>
  <c r="H261" i="24"/>
  <c r="Z260" i="24"/>
  <c r="X260" i="24"/>
  <c r="U260" i="24"/>
  <c r="AA260" i="24" s="1"/>
  <c r="H260" i="24"/>
  <c r="Z259" i="24"/>
  <c r="X259" i="24"/>
  <c r="U259" i="24"/>
  <c r="AA259" i="24" s="1"/>
  <c r="H259" i="24"/>
  <c r="Z258" i="24"/>
  <c r="X258" i="24"/>
  <c r="U258" i="24"/>
  <c r="AA258" i="24" s="1"/>
  <c r="H258" i="24"/>
  <c r="Z257" i="24"/>
  <c r="X257" i="24"/>
  <c r="U257" i="24"/>
  <c r="AA257" i="24" s="1"/>
  <c r="H257" i="24"/>
  <c r="Y256" i="24"/>
  <c r="X256" i="24"/>
  <c r="X264" i="24" s="1"/>
  <c r="U256" i="24"/>
  <c r="H256" i="24"/>
  <c r="Y253" i="24"/>
  <c r="W253" i="24"/>
  <c r="V253" i="24"/>
  <c r="U253" i="24"/>
  <c r="T253" i="24"/>
  <c r="S253" i="24"/>
  <c r="R253" i="24"/>
  <c r="Q253" i="24"/>
  <c r="P253" i="24"/>
  <c r="O253" i="24"/>
  <c r="N253" i="24"/>
  <c r="M253" i="24"/>
  <c r="L253" i="24"/>
  <c r="K253" i="24"/>
  <c r="J253" i="24"/>
  <c r="I253" i="24"/>
  <c r="H253" i="24"/>
  <c r="AA252" i="24"/>
  <c r="AA253" i="24" s="1"/>
  <c r="Z252" i="24"/>
  <c r="Z253" i="24" s="1"/>
  <c r="X252" i="24"/>
  <c r="X253" i="24" s="1"/>
  <c r="Y249" i="24"/>
  <c r="W249" i="24"/>
  <c r="V249" i="24"/>
  <c r="T249" i="24"/>
  <c r="S249" i="24"/>
  <c r="R249" i="24"/>
  <c r="Q249" i="24"/>
  <c r="P249" i="24"/>
  <c r="O249" i="24"/>
  <c r="N249" i="24"/>
  <c r="M249" i="24"/>
  <c r="L249" i="24"/>
  <c r="K249" i="24"/>
  <c r="J249" i="24"/>
  <c r="I249" i="24"/>
  <c r="H249" i="24"/>
  <c r="W248" i="24"/>
  <c r="V248" i="24"/>
  <c r="T248" i="24"/>
  <c r="S248" i="24"/>
  <c r="R248" i="24"/>
  <c r="Q248" i="24"/>
  <c r="P248" i="24"/>
  <c r="O248" i="24"/>
  <c r="N248" i="24"/>
  <c r="M248" i="24"/>
  <c r="L248" i="24"/>
  <c r="K248" i="24"/>
  <c r="J248" i="24"/>
  <c r="I248" i="24"/>
  <c r="W247" i="24"/>
  <c r="V247" i="24"/>
  <c r="T247" i="24"/>
  <c r="S247" i="24"/>
  <c r="R247" i="24"/>
  <c r="Q247" i="24"/>
  <c r="P247" i="24"/>
  <c r="O247" i="24"/>
  <c r="N247" i="24"/>
  <c r="M247" i="24"/>
  <c r="L247" i="24"/>
  <c r="K247" i="24"/>
  <c r="J247" i="24"/>
  <c r="I247" i="24"/>
  <c r="Z246" i="24"/>
  <c r="X246" i="24"/>
  <c r="U246" i="24"/>
  <c r="AA246" i="24" s="1"/>
  <c r="Z245" i="24"/>
  <c r="X245" i="24"/>
  <c r="U245" i="24"/>
  <c r="Z244" i="24"/>
  <c r="X244" i="24"/>
  <c r="U244" i="24"/>
  <c r="AA244" i="24" s="1"/>
  <c r="Z243" i="24"/>
  <c r="X243" i="24"/>
  <c r="U243" i="24"/>
  <c r="AA243" i="24" s="1"/>
  <c r="Z242" i="24"/>
  <c r="X242" i="24"/>
  <c r="U242" i="24"/>
  <c r="AA242" i="24" s="1"/>
  <c r="Z241" i="24"/>
  <c r="X241" i="24"/>
  <c r="U241" i="24"/>
  <c r="AA241" i="24" s="1"/>
  <c r="Z240" i="24"/>
  <c r="X240" i="24"/>
  <c r="U240" i="24"/>
  <c r="AA240" i="24" s="1"/>
  <c r="Y239" i="24"/>
  <c r="Z239" i="24" s="1"/>
  <c r="X239" i="24"/>
  <c r="U239" i="24"/>
  <c r="Y238" i="24"/>
  <c r="X238" i="24"/>
  <c r="U238" i="24"/>
  <c r="Z237" i="24"/>
  <c r="X237" i="24"/>
  <c r="U237" i="24"/>
  <c r="AA237" i="24" s="1"/>
  <c r="Z236" i="24"/>
  <c r="X236" i="24"/>
  <c r="U236" i="24"/>
  <c r="AA236" i="24" s="1"/>
  <c r="Z235" i="24"/>
  <c r="X235" i="24"/>
  <c r="U235" i="24"/>
  <c r="AA235" i="24" s="1"/>
  <c r="H235" i="24"/>
  <c r="H248" i="24" s="1"/>
  <c r="Z234" i="24"/>
  <c r="X234" i="24"/>
  <c r="U234" i="24"/>
  <c r="AA234" i="24" s="1"/>
  <c r="Z233" i="24"/>
  <c r="X233" i="24"/>
  <c r="U233" i="24"/>
  <c r="AA233" i="24" s="1"/>
  <c r="Z232" i="24"/>
  <c r="X232" i="24"/>
  <c r="U232" i="24"/>
  <c r="AA232" i="24" s="1"/>
  <c r="Z231" i="24"/>
  <c r="X231" i="24"/>
  <c r="U231" i="24"/>
  <c r="AA231" i="24" s="1"/>
  <c r="Z230" i="24"/>
  <c r="X230" i="24"/>
  <c r="U230" i="24"/>
  <c r="Z229" i="24"/>
  <c r="X229" i="24"/>
  <c r="U229" i="24"/>
  <c r="AA229" i="24" s="1"/>
  <c r="Z228" i="24"/>
  <c r="X228" i="24"/>
  <c r="U228" i="24"/>
  <c r="AA228" i="24" s="1"/>
  <c r="Z227" i="24"/>
  <c r="X227" i="24"/>
  <c r="U227" i="24"/>
  <c r="AA227" i="24" s="1"/>
  <c r="Z226" i="24"/>
  <c r="X226" i="24"/>
  <c r="U226" i="24"/>
  <c r="AA226" i="24" s="1"/>
  <c r="H226" i="24"/>
  <c r="Y225" i="24"/>
  <c r="X225" i="24"/>
  <c r="U225" i="24"/>
  <c r="H225" i="24"/>
  <c r="Z224" i="24"/>
  <c r="X224" i="24"/>
  <c r="U224" i="24"/>
  <c r="AA224" i="24" s="1"/>
  <c r="H224" i="24"/>
  <c r="Z223" i="24"/>
  <c r="X223" i="24"/>
  <c r="U223" i="24"/>
  <c r="AA223" i="24" s="1"/>
  <c r="H223" i="24"/>
  <c r="Z222" i="24"/>
  <c r="X222" i="24"/>
  <c r="U222" i="24"/>
  <c r="AA222" i="24" s="1"/>
  <c r="H222" i="24"/>
  <c r="Y221" i="24"/>
  <c r="Y247" i="24" s="1"/>
  <c r="X221" i="24"/>
  <c r="U221" i="24"/>
  <c r="H221" i="24"/>
  <c r="Z220" i="24"/>
  <c r="X220" i="24"/>
  <c r="U220" i="24"/>
  <c r="AA220" i="24" s="1"/>
  <c r="H220" i="24"/>
  <c r="E220" i="24"/>
  <c r="E221" i="24" s="1"/>
  <c r="E222" i="24" s="1"/>
  <c r="E223" i="24" s="1"/>
  <c r="E224" i="24" s="1"/>
  <c r="E225" i="24" s="1"/>
  <c r="Z219" i="24"/>
  <c r="X219" i="24"/>
  <c r="U219" i="24"/>
  <c r="H219" i="24"/>
  <c r="Y216" i="24"/>
  <c r="W216" i="24"/>
  <c r="V216" i="24"/>
  <c r="T216" i="24"/>
  <c r="S216" i="24"/>
  <c r="R216" i="24"/>
  <c r="Q216" i="24"/>
  <c r="P216" i="24"/>
  <c r="O216" i="24"/>
  <c r="N216" i="24"/>
  <c r="M216" i="24"/>
  <c r="L216" i="24"/>
  <c r="K216" i="24"/>
  <c r="J216" i="24"/>
  <c r="I216" i="24"/>
  <c r="Z215" i="24"/>
  <c r="X215" i="24"/>
  <c r="U215" i="24"/>
  <c r="AA215" i="24" s="1"/>
  <c r="H215" i="24"/>
  <c r="Z214" i="24"/>
  <c r="X214" i="24"/>
  <c r="U214" i="24"/>
  <c r="AA214" i="24" s="1"/>
  <c r="H214" i="24"/>
  <c r="Z213" i="24"/>
  <c r="X213" i="24"/>
  <c r="X216" i="24" s="1"/>
  <c r="U213" i="24"/>
  <c r="U216" i="24" s="1"/>
  <c r="H213" i="24"/>
  <c r="Y210" i="24"/>
  <c r="W210" i="24"/>
  <c r="V210" i="24"/>
  <c r="T210" i="24"/>
  <c r="S210" i="24"/>
  <c r="R210" i="24"/>
  <c r="Q210" i="24"/>
  <c r="P210" i="24"/>
  <c r="O210" i="24"/>
  <c r="N210" i="24"/>
  <c r="M210" i="24"/>
  <c r="L210" i="24"/>
  <c r="K210" i="24"/>
  <c r="J210" i="24"/>
  <c r="I210" i="24"/>
  <c r="H210" i="24"/>
  <c r="Y209" i="24"/>
  <c r="Y211" i="24" s="1"/>
  <c r="W209" i="24"/>
  <c r="V209" i="24"/>
  <c r="V211" i="24" s="1"/>
  <c r="T209" i="24"/>
  <c r="S209" i="24"/>
  <c r="R209" i="24"/>
  <c r="Q209" i="24"/>
  <c r="Q211" i="24" s="1"/>
  <c r="P209" i="24"/>
  <c r="O209" i="24"/>
  <c r="N209" i="24"/>
  <c r="M209" i="24"/>
  <c r="M211" i="24" s="1"/>
  <c r="L209" i="24"/>
  <c r="K209" i="24"/>
  <c r="J209" i="24"/>
  <c r="I209" i="24"/>
  <c r="I211" i="24" s="1"/>
  <c r="H209" i="24"/>
  <c r="Z208" i="24"/>
  <c r="X208" i="24"/>
  <c r="U208" i="24"/>
  <c r="AA208" i="24" s="1"/>
  <c r="Z207" i="24"/>
  <c r="X207" i="24"/>
  <c r="U207" i="24"/>
  <c r="AA207" i="24" s="1"/>
  <c r="Z206" i="24"/>
  <c r="X206" i="24"/>
  <c r="U206" i="24"/>
  <c r="Z205" i="24"/>
  <c r="Z209" i="24" s="1"/>
  <c r="X205" i="24"/>
  <c r="X209" i="24" s="1"/>
  <c r="U205" i="24"/>
  <c r="Y202" i="24"/>
  <c r="W202" i="24"/>
  <c r="V202" i="24"/>
  <c r="T202" i="24"/>
  <c r="S202" i="24"/>
  <c r="R202" i="24"/>
  <c r="Q202" i="24"/>
  <c r="P202" i="24"/>
  <c r="O202" i="24"/>
  <c r="N202" i="24"/>
  <c r="M202" i="24"/>
  <c r="L202" i="24"/>
  <c r="K202" i="24"/>
  <c r="J202" i="24"/>
  <c r="I202" i="24"/>
  <c r="H202" i="24"/>
  <c r="Y201" i="24"/>
  <c r="Y203" i="24" s="1"/>
  <c r="W201" i="24"/>
  <c r="W203" i="24" s="1"/>
  <c r="V201" i="24"/>
  <c r="T201" i="24"/>
  <c r="T203" i="24" s="1"/>
  <c r="S201" i="24"/>
  <c r="S203" i="24" s="1"/>
  <c r="R201" i="24"/>
  <c r="R203" i="24" s="1"/>
  <c r="Q201" i="24"/>
  <c r="P201" i="24"/>
  <c r="P203" i="24" s="1"/>
  <c r="O201" i="24"/>
  <c r="O203" i="24" s="1"/>
  <c r="N201" i="24"/>
  <c r="N203" i="24" s="1"/>
  <c r="M201" i="24"/>
  <c r="L201" i="24"/>
  <c r="L203" i="24" s="1"/>
  <c r="K201" i="24"/>
  <c r="K203" i="24" s="1"/>
  <c r="J201" i="24"/>
  <c r="J203" i="24" s="1"/>
  <c r="I201" i="24"/>
  <c r="H201" i="24"/>
  <c r="H203" i="24" s="1"/>
  <c r="Z200" i="24"/>
  <c r="X200" i="24"/>
  <c r="U200" i="24"/>
  <c r="AA200" i="24" s="1"/>
  <c r="Z199" i="24"/>
  <c r="X199" i="24"/>
  <c r="U199" i="24"/>
  <c r="Z198" i="24"/>
  <c r="X198" i="24"/>
  <c r="U198" i="24"/>
  <c r="AA198" i="24" s="1"/>
  <c r="Z197" i="24"/>
  <c r="X197" i="24"/>
  <c r="U197" i="24"/>
  <c r="Y194" i="24"/>
  <c r="Y195" i="24" s="1"/>
  <c r="W194" i="24"/>
  <c r="W195" i="24" s="1"/>
  <c r="V194" i="24"/>
  <c r="V195" i="24" s="1"/>
  <c r="T194" i="24"/>
  <c r="T195" i="24" s="1"/>
  <c r="S194" i="24"/>
  <c r="S195" i="24" s="1"/>
  <c r="R194" i="24"/>
  <c r="R195" i="24" s="1"/>
  <c r="Q194" i="24"/>
  <c r="Q195" i="24" s="1"/>
  <c r="P194" i="24"/>
  <c r="P195" i="24" s="1"/>
  <c r="O194" i="24"/>
  <c r="O195" i="24" s="1"/>
  <c r="N194" i="24"/>
  <c r="N195" i="24" s="1"/>
  <c r="M194" i="24"/>
  <c r="M195" i="24" s="1"/>
  <c r="L194" i="24"/>
  <c r="L195" i="24" s="1"/>
  <c r="K194" i="24"/>
  <c r="K195" i="24" s="1"/>
  <c r="J194" i="24"/>
  <c r="J195" i="24" s="1"/>
  <c r="I194" i="24"/>
  <c r="I195" i="24" s="1"/>
  <c r="Z193" i="24"/>
  <c r="Z194" i="24" s="1"/>
  <c r="Z195" i="24" s="1"/>
  <c r="X193" i="24"/>
  <c r="X194" i="24" s="1"/>
  <c r="X195" i="24" s="1"/>
  <c r="U193" i="24"/>
  <c r="H193" i="24"/>
  <c r="H194" i="24" s="1"/>
  <c r="H195" i="24" s="1"/>
  <c r="Y191" i="24"/>
  <c r="W191" i="24"/>
  <c r="V191" i="24"/>
  <c r="T191" i="24"/>
  <c r="S191" i="24"/>
  <c r="R191" i="24"/>
  <c r="Q191" i="24"/>
  <c r="P191" i="24"/>
  <c r="O191" i="24"/>
  <c r="N191" i="24"/>
  <c r="M191" i="24"/>
  <c r="L191" i="24"/>
  <c r="K191" i="24"/>
  <c r="J191" i="24"/>
  <c r="I191" i="24"/>
  <c r="H191" i="24"/>
  <c r="Z190" i="24"/>
  <c r="Z191" i="24" s="1"/>
  <c r="X190" i="24"/>
  <c r="X191" i="24" s="1"/>
  <c r="U190" i="24"/>
  <c r="AA190" i="24" s="1"/>
  <c r="AA191" i="24" s="1"/>
  <c r="Y187" i="24"/>
  <c r="W187" i="24"/>
  <c r="V187" i="24"/>
  <c r="T187" i="24"/>
  <c r="S187" i="24"/>
  <c r="Q187" i="24"/>
  <c r="P187" i="24"/>
  <c r="O187" i="24"/>
  <c r="M187" i="24"/>
  <c r="L187" i="24"/>
  <c r="K187" i="24"/>
  <c r="J187" i="24"/>
  <c r="I187" i="24"/>
  <c r="Y186" i="24"/>
  <c r="W186" i="24"/>
  <c r="V186" i="24"/>
  <c r="T186" i="24"/>
  <c r="S186" i="24"/>
  <c r="R186" i="24"/>
  <c r="Q186" i="24"/>
  <c r="P186" i="24"/>
  <c r="O186" i="24"/>
  <c r="N186" i="24"/>
  <c r="M186" i="24"/>
  <c r="L186" i="24"/>
  <c r="K186" i="24"/>
  <c r="J186" i="24"/>
  <c r="I186" i="24"/>
  <c r="Z185" i="24"/>
  <c r="X185" i="24"/>
  <c r="U185" i="24"/>
  <c r="AA185" i="24" s="1"/>
  <c r="Z184" i="24"/>
  <c r="X184" i="24"/>
  <c r="U184" i="24"/>
  <c r="AA184" i="24" s="1"/>
  <c r="Z183" i="24"/>
  <c r="X183" i="24"/>
  <c r="U183" i="24"/>
  <c r="AA183" i="24" s="1"/>
  <c r="R183" i="24"/>
  <c r="R187" i="24" s="1"/>
  <c r="Z182" i="24"/>
  <c r="X182" i="24"/>
  <c r="U182" i="24"/>
  <c r="AA182" i="24" s="1"/>
  <c r="Z181" i="24"/>
  <c r="X181" i="24"/>
  <c r="N181" i="24"/>
  <c r="N187" i="24" s="1"/>
  <c r="Z180" i="24"/>
  <c r="X180" i="24"/>
  <c r="U180" i="24"/>
  <c r="AA180" i="24" s="1"/>
  <c r="E180" i="24"/>
  <c r="E181" i="24" s="1"/>
  <c r="E182" i="24" s="1"/>
  <c r="E183" i="24" s="1"/>
  <c r="E184" i="24" s="1"/>
  <c r="E185" i="24" s="1"/>
  <c r="Z179" i="24"/>
  <c r="X179" i="24"/>
  <c r="X186" i="24" s="1"/>
  <c r="U179" i="24"/>
  <c r="AA179" i="24" s="1"/>
  <c r="AA186" i="24" s="1"/>
  <c r="Y176" i="24"/>
  <c r="Y177" i="24" s="1"/>
  <c r="W176" i="24"/>
  <c r="W177" i="24" s="1"/>
  <c r="V176" i="24"/>
  <c r="V177" i="24" s="1"/>
  <c r="T176" i="24"/>
  <c r="T177" i="24" s="1"/>
  <c r="S176" i="24"/>
  <c r="S177" i="24" s="1"/>
  <c r="R176" i="24"/>
  <c r="R177" i="24" s="1"/>
  <c r="Q176" i="24"/>
  <c r="Q177" i="24" s="1"/>
  <c r="P176" i="24"/>
  <c r="P177" i="24" s="1"/>
  <c r="O176" i="24"/>
  <c r="O177" i="24" s="1"/>
  <c r="N176" i="24"/>
  <c r="N177" i="24" s="1"/>
  <c r="M176" i="24"/>
  <c r="M177" i="24" s="1"/>
  <c r="L176" i="24"/>
  <c r="L177" i="24" s="1"/>
  <c r="K176" i="24"/>
  <c r="K177" i="24" s="1"/>
  <c r="J176" i="24"/>
  <c r="J177" i="24" s="1"/>
  <c r="I176" i="24"/>
  <c r="I177" i="24" s="1"/>
  <c r="Z175" i="24"/>
  <c r="X175" i="24"/>
  <c r="U175" i="24"/>
  <c r="AA175" i="24" s="1"/>
  <c r="H175" i="24"/>
  <c r="E175" i="24"/>
  <c r="Z174" i="24"/>
  <c r="X174" i="24"/>
  <c r="U174" i="24"/>
  <c r="AA174" i="24" s="1"/>
  <c r="H174" i="24"/>
  <c r="W171" i="24"/>
  <c r="V171" i="24"/>
  <c r="T171" i="24"/>
  <c r="S171" i="24"/>
  <c r="R171" i="24"/>
  <c r="Q171" i="24"/>
  <c r="P171" i="24"/>
  <c r="O171" i="24"/>
  <c r="N171" i="24"/>
  <c r="M171" i="24"/>
  <c r="L171" i="24"/>
  <c r="K171" i="24"/>
  <c r="J171" i="24"/>
  <c r="I171" i="24"/>
  <c r="Y170" i="24"/>
  <c r="Z170" i="24" s="1"/>
  <c r="X170" i="24"/>
  <c r="U170" i="24"/>
  <c r="H170" i="24"/>
  <c r="Z169" i="24"/>
  <c r="X169" i="24"/>
  <c r="U169" i="24"/>
  <c r="AA169" i="24" s="1"/>
  <c r="H169" i="24"/>
  <c r="Z168" i="24"/>
  <c r="X168" i="24"/>
  <c r="U168" i="24"/>
  <c r="AA168" i="24" s="1"/>
  <c r="H168" i="24"/>
  <c r="Z167" i="24"/>
  <c r="X167" i="24"/>
  <c r="U167" i="24"/>
  <c r="AA167" i="24" s="1"/>
  <c r="H167" i="24"/>
  <c r="Z166" i="24"/>
  <c r="X166" i="24"/>
  <c r="X165" i="24" s="1"/>
  <c r="U166" i="24"/>
  <c r="AA166" i="24" s="1"/>
  <c r="H166" i="24"/>
  <c r="Y165" i="24"/>
  <c r="W165" i="24"/>
  <c r="W172" i="24" s="1"/>
  <c r="V165" i="24"/>
  <c r="V172" i="24" s="1"/>
  <c r="T165" i="24"/>
  <c r="T172" i="24" s="1"/>
  <c r="S165" i="24"/>
  <c r="S172" i="24" s="1"/>
  <c r="R165" i="24"/>
  <c r="R172" i="24" s="1"/>
  <c r="Q165" i="24"/>
  <c r="Q172" i="24" s="1"/>
  <c r="P165" i="24"/>
  <c r="P172" i="24" s="1"/>
  <c r="O165" i="24"/>
  <c r="O172" i="24" s="1"/>
  <c r="N165" i="24"/>
  <c r="N172" i="24" s="1"/>
  <c r="M165" i="24"/>
  <c r="M172" i="24" s="1"/>
  <c r="L165" i="24"/>
  <c r="L172" i="24" s="1"/>
  <c r="K165" i="24"/>
  <c r="K172" i="24" s="1"/>
  <c r="J165" i="24"/>
  <c r="J172" i="24" s="1"/>
  <c r="I165" i="24"/>
  <c r="U163" i="24"/>
  <c r="Z160" i="24"/>
  <c r="X160" i="24"/>
  <c r="U160" i="24"/>
  <c r="AA160" i="24" s="1"/>
  <c r="H160" i="24"/>
  <c r="Z159" i="24"/>
  <c r="X159" i="24"/>
  <c r="U159" i="24"/>
  <c r="AA159" i="24" s="1"/>
  <c r="H159" i="24"/>
  <c r="Y158" i="24"/>
  <c r="Z158" i="24" s="1"/>
  <c r="X158" i="24"/>
  <c r="U158" i="24"/>
  <c r="H158" i="24"/>
  <c r="Y157" i="24"/>
  <c r="X157" i="24"/>
  <c r="U157" i="24"/>
  <c r="H157" i="24"/>
  <c r="W156" i="24"/>
  <c r="V156" i="24"/>
  <c r="T156" i="24"/>
  <c r="S156" i="24"/>
  <c r="R156" i="24"/>
  <c r="Q156" i="24"/>
  <c r="P156" i="24"/>
  <c r="O156" i="24"/>
  <c r="N156" i="24"/>
  <c r="M156" i="24"/>
  <c r="L156" i="24"/>
  <c r="K156" i="24"/>
  <c r="J156" i="24"/>
  <c r="I156" i="24"/>
  <c r="Z155" i="24"/>
  <c r="X155" i="24"/>
  <c r="U155" i="24"/>
  <c r="AA155" i="24" s="1"/>
  <c r="H155" i="24"/>
  <c r="Y154" i="24"/>
  <c r="W154" i="24"/>
  <c r="V154" i="24"/>
  <c r="U154" i="24"/>
  <c r="H154" i="24"/>
  <c r="U153" i="24"/>
  <c r="Y152" i="24"/>
  <c r="W152" i="24"/>
  <c r="V152" i="24"/>
  <c r="U152" i="24"/>
  <c r="H152" i="24"/>
  <c r="Y151" i="24"/>
  <c r="W151" i="24"/>
  <c r="V151" i="24"/>
  <c r="U151" i="24"/>
  <c r="H151" i="24"/>
  <c r="T150" i="24"/>
  <c r="S150" i="24"/>
  <c r="R150" i="24"/>
  <c r="Q150" i="24"/>
  <c r="P150" i="24"/>
  <c r="O150" i="24"/>
  <c r="N150" i="24"/>
  <c r="M150" i="24"/>
  <c r="L150" i="24"/>
  <c r="K150" i="24"/>
  <c r="J150" i="24"/>
  <c r="I150" i="24"/>
  <c r="Y149" i="24"/>
  <c r="Z149" i="24" s="1"/>
  <c r="Z148" i="24" s="1"/>
  <c r="X149" i="24"/>
  <c r="X148" i="24" s="1"/>
  <c r="U149" i="24"/>
  <c r="W148" i="24"/>
  <c r="V148" i="24"/>
  <c r="T148" i="24"/>
  <c r="S148" i="24"/>
  <c r="R148" i="24"/>
  <c r="Q148" i="24"/>
  <c r="P148" i="24"/>
  <c r="O148" i="24"/>
  <c r="N148" i="24"/>
  <c r="M148" i="24"/>
  <c r="L148" i="24"/>
  <c r="K148" i="24"/>
  <c r="J148" i="24"/>
  <c r="I148" i="24"/>
  <c r="H148" i="24"/>
  <c r="Z147" i="24"/>
  <c r="X147" i="24"/>
  <c r="U147" i="24"/>
  <c r="AA147" i="24" s="1"/>
  <c r="H147" i="24"/>
  <c r="Z146" i="24"/>
  <c r="X146" i="24"/>
  <c r="U146" i="24"/>
  <c r="AA146" i="24" s="1"/>
  <c r="H146" i="24"/>
  <c r="Z145" i="24"/>
  <c r="X145" i="24"/>
  <c r="U145" i="24"/>
  <c r="AA145" i="24" s="1"/>
  <c r="H145" i="24"/>
  <c r="Z144" i="24"/>
  <c r="X144" i="24"/>
  <c r="U144" i="24"/>
  <c r="AA144" i="24" s="1"/>
  <c r="H144" i="24"/>
  <c r="Y143" i="24"/>
  <c r="Y128" i="24" s="1"/>
  <c r="W143" i="24"/>
  <c r="W128" i="24" s="1"/>
  <c r="V143" i="24"/>
  <c r="U143" i="24"/>
  <c r="H143" i="24"/>
  <c r="Z142" i="24"/>
  <c r="X142" i="24"/>
  <c r="U142" i="24"/>
  <c r="AA142" i="24" s="1"/>
  <c r="H142" i="24"/>
  <c r="Z141" i="24"/>
  <c r="X141" i="24"/>
  <c r="U141" i="24"/>
  <c r="AA141" i="24" s="1"/>
  <c r="H141" i="24"/>
  <c r="Z140" i="24"/>
  <c r="X140" i="24"/>
  <c r="U140" i="24"/>
  <c r="AA140" i="24" s="1"/>
  <c r="H140" i="24"/>
  <c r="Z139" i="24"/>
  <c r="X139" i="24"/>
  <c r="U139" i="24"/>
  <c r="AA139" i="24" s="1"/>
  <c r="H139" i="24"/>
  <c r="Z138" i="24"/>
  <c r="X138" i="24"/>
  <c r="U138" i="24"/>
  <c r="AA138" i="24" s="1"/>
  <c r="H138" i="24"/>
  <c r="Z137" i="24"/>
  <c r="X137" i="24"/>
  <c r="U137" i="24"/>
  <c r="AA137" i="24" s="1"/>
  <c r="H137" i="24"/>
  <c r="Z136" i="24"/>
  <c r="X136" i="24"/>
  <c r="U136" i="24"/>
  <c r="AA136" i="24" s="1"/>
  <c r="H136" i="24"/>
  <c r="Z135" i="24"/>
  <c r="X135" i="24"/>
  <c r="U135" i="24"/>
  <c r="AA135" i="24" s="1"/>
  <c r="H135" i="24"/>
  <c r="Z134" i="24"/>
  <c r="X134" i="24"/>
  <c r="U134" i="24"/>
  <c r="AA134" i="24" s="1"/>
  <c r="H134" i="24"/>
  <c r="Z133" i="24"/>
  <c r="X133" i="24"/>
  <c r="U133" i="24"/>
  <c r="AA133" i="24" s="1"/>
  <c r="H133" i="24"/>
  <c r="Z132" i="24"/>
  <c r="X132" i="24"/>
  <c r="U132" i="24"/>
  <c r="AA132" i="24" s="1"/>
  <c r="H132" i="24"/>
  <c r="Z131" i="24"/>
  <c r="X131" i="24"/>
  <c r="U131" i="24"/>
  <c r="AA131" i="24" s="1"/>
  <c r="H131" i="24"/>
  <c r="Z130" i="24"/>
  <c r="X130" i="24"/>
  <c r="U130" i="24"/>
  <c r="AA130" i="24" s="1"/>
  <c r="H130" i="24"/>
  <c r="Z129" i="24"/>
  <c r="X129" i="24"/>
  <c r="U129" i="24"/>
  <c r="AA129" i="24" s="1"/>
  <c r="H129" i="24"/>
  <c r="T128" i="24"/>
  <c r="S128" i="24"/>
  <c r="R128" i="24"/>
  <c r="Q128" i="24"/>
  <c r="P128" i="24"/>
  <c r="O128" i="24"/>
  <c r="N128" i="24"/>
  <c r="M128" i="24"/>
  <c r="L128" i="24"/>
  <c r="K128" i="24"/>
  <c r="J128" i="24"/>
  <c r="I128" i="24"/>
  <c r="Z127" i="24"/>
  <c r="X127" i="24"/>
  <c r="U127" i="24"/>
  <c r="AA127" i="24" s="1"/>
  <c r="H127" i="24"/>
  <c r="AE126" i="24"/>
  <c r="Y126" i="24"/>
  <c r="V126" i="24"/>
  <c r="V123" i="24" s="1"/>
  <c r="U126" i="24"/>
  <c r="H126" i="24"/>
  <c r="Z125" i="24"/>
  <c r="X125" i="24"/>
  <c r="U125" i="24"/>
  <c r="AA125" i="24" s="1"/>
  <c r="H125" i="24"/>
  <c r="Z124" i="24"/>
  <c r="X124" i="24"/>
  <c r="U124" i="24"/>
  <c r="AA124" i="24" s="1"/>
  <c r="H124" i="24"/>
  <c r="Y123" i="24"/>
  <c r="W123" i="24"/>
  <c r="T123" i="24"/>
  <c r="S123" i="24"/>
  <c r="R123" i="24"/>
  <c r="Q123" i="24"/>
  <c r="P123" i="24"/>
  <c r="O123" i="24"/>
  <c r="N123" i="24"/>
  <c r="M123" i="24"/>
  <c r="L123" i="24"/>
  <c r="K123" i="24"/>
  <c r="J123" i="24"/>
  <c r="I123" i="24"/>
  <c r="U122" i="24"/>
  <c r="AA122" i="24" s="1"/>
  <c r="Z121" i="24"/>
  <c r="X121" i="24"/>
  <c r="U121" i="24"/>
  <c r="AA121" i="24" s="1"/>
  <c r="H121" i="24"/>
  <c r="Z120" i="24"/>
  <c r="X120" i="24"/>
  <c r="U120" i="24"/>
  <c r="AA120" i="24" s="1"/>
  <c r="H120" i="24"/>
  <c r="Z119" i="24"/>
  <c r="X119" i="24"/>
  <c r="U119" i="24"/>
  <c r="AA119" i="24" s="1"/>
  <c r="H119" i="24"/>
  <c r="Z118" i="24"/>
  <c r="X118" i="24"/>
  <c r="U118" i="24"/>
  <c r="AA118" i="24" s="1"/>
  <c r="H118" i="24"/>
  <c r="Z117" i="24"/>
  <c r="X117" i="24"/>
  <c r="U117" i="24"/>
  <c r="AA117" i="24" s="1"/>
  <c r="H117" i="24"/>
  <c r="U116" i="24"/>
  <c r="Y115" i="24"/>
  <c r="W115" i="24"/>
  <c r="V115" i="24"/>
  <c r="U115" i="24"/>
  <c r="H115" i="24"/>
  <c r="Z114" i="24"/>
  <c r="X114" i="24"/>
  <c r="U114" i="24"/>
  <c r="AA114" i="24" s="1"/>
  <c r="H114" i="24"/>
  <c r="Z113" i="24"/>
  <c r="X113" i="24"/>
  <c r="U113" i="24"/>
  <c r="AA113" i="24" s="1"/>
  <c r="H113" i="24"/>
  <c r="Z112" i="24"/>
  <c r="X112" i="24"/>
  <c r="U112" i="24"/>
  <c r="AA112" i="24" s="1"/>
  <c r="H112" i="24"/>
  <c r="Z111" i="24"/>
  <c r="X111" i="24"/>
  <c r="U111" i="24"/>
  <c r="AA111" i="24" s="1"/>
  <c r="H111" i="24"/>
  <c r="Z110" i="24"/>
  <c r="X110" i="24"/>
  <c r="U110" i="24"/>
  <c r="AA110" i="24" s="1"/>
  <c r="H110" i="24"/>
  <c r="Z109" i="24"/>
  <c r="X109" i="24"/>
  <c r="U109" i="24"/>
  <c r="AA109" i="24" s="1"/>
  <c r="H109" i="24"/>
  <c r="Z108" i="24"/>
  <c r="X108" i="24"/>
  <c r="U108" i="24"/>
  <c r="AA108" i="24" s="1"/>
  <c r="H108" i="24"/>
  <c r="Y107" i="24"/>
  <c r="X107" i="24"/>
  <c r="U107" i="24"/>
  <c r="H107" i="24"/>
  <c r="Y106" i="24"/>
  <c r="W106" i="24"/>
  <c r="V106" i="24"/>
  <c r="U106" i="24"/>
  <c r="H106" i="24"/>
  <c r="Y105" i="24"/>
  <c r="W105" i="24"/>
  <c r="V105" i="24"/>
  <c r="U105" i="24"/>
  <c r="H105" i="24"/>
  <c r="Z104" i="24"/>
  <c r="X104" i="24"/>
  <c r="U104" i="24"/>
  <c r="AA104" i="24" s="1"/>
  <c r="H104" i="24"/>
  <c r="Z103" i="24"/>
  <c r="X103" i="24"/>
  <c r="U103" i="24"/>
  <c r="AA103" i="24" s="1"/>
  <c r="H103" i="24"/>
  <c r="Y102" i="24"/>
  <c r="W102" i="24"/>
  <c r="V102" i="24"/>
  <c r="U102" i="24"/>
  <c r="H102" i="24"/>
  <c r="Z101" i="24"/>
  <c r="X101" i="24"/>
  <c r="U101" i="24"/>
  <c r="AA101" i="24" s="1"/>
  <c r="H101" i="24"/>
  <c r="U100" i="24"/>
  <c r="H100" i="24"/>
  <c r="AE99" i="24"/>
  <c r="AE100" i="24" s="1"/>
  <c r="Y99" i="24"/>
  <c r="X99" i="24"/>
  <c r="U99" i="24"/>
  <c r="H99" i="24"/>
  <c r="AC98" i="24"/>
  <c r="Y98" i="24"/>
  <c r="X98" i="24"/>
  <c r="U98" i="24"/>
  <c r="H98" i="24"/>
  <c r="AE98" i="24" s="1"/>
  <c r="Z97" i="24"/>
  <c r="X97" i="24"/>
  <c r="U97" i="24"/>
  <c r="AA97" i="24" s="1"/>
  <c r="H97" i="24"/>
  <c r="Z96" i="24"/>
  <c r="X96" i="24"/>
  <c r="U96" i="24"/>
  <c r="AA96" i="24" s="1"/>
  <c r="H96" i="24"/>
  <c r="T95" i="24"/>
  <c r="S95" i="24"/>
  <c r="R95" i="24"/>
  <c r="Q95" i="24"/>
  <c r="P95" i="24"/>
  <c r="O95" i="24"/>
  <c r="N95" i="24"/>
  <c r="M95" i="24"/>
  <c r="L95" i="24"/>
  <c r="K95" i="24"/>
  <c r="J95" i="24"/>
  <c r="I95" i="24"/>
  <c r="Z94" i="24"/>
  <c r="X94" i="24"/>
  <c r="U94" i="24"/>
  <c r="AA94" i="24" s="1"/>
  <c r="Z93" i="24"/>
  <c r="X93" i="24"/>
  <c r="U93" i="24"/>
  <c r="AA93" i="24" s="1"/>
  <c r="Y92" i="24"/>
  <c r="Z92" i="24" s="1"/>
  <c r="X92" i="24"/>
  <c r="R92" i="24"/>
  <c r="I92" i="24"/>
  <c r="U92" i="24" s="1"/>
  <c r="Y91" i="24"/>
  <c r="W91" i="24"/>
  <c r="V91" i="24"/>
  <c r="R91" i="24"/>
  <c r="I91" i="24"/>
  <c r="Z90" i="24"/>
  <c r="X90" i="24"/>
  <c r="U90" i="24"/>
  <c r="AA90" i="24" s="1"/>
  <c r="Z89" i="24"/>
  <c r="X89" i="24"/>
  <c r="U89" i="24"/>
  <c r="AA89" i="24" s="1"/>
  <c r="H89" i="24"/>
  <c r="Z88" i="24"/>
  <c r="X88" i="24"/>
  <c r="U88" i="24"/>
  <c r="AA88" i="24" s="1"/>
  <c r="H88" i="24"/>
  <c r="Y87" i="24"/>
  <c r="W87" i="24"/>
  <c r="V87" i="24"/>
  <c r="U87" i="24"/>
  <c r="H87" i="24"/>
  <c r="Y86" i="24"/>
  <c r="Z86" i="24" s="1"/>
  <c r="X86" i="24"/>
  <c r="U86" i="24"/>
  <c r="H86" i="24"/>
  <c r="Z85" i="24"/>
  <c r="X85" i="24"/>
  <c r="U85" i="24"/>
  <c r="AA85" i="24" s="1"/>
  <c r="H85" i="24"/>
  <c r="Y84" i="24"/>
  <c r="Z84" i="24" s="1"/>
  <c r="X84" i="24"/>
  <c r="U84" i="24"/>
  <c r="R84" i="24"/>
  <c r="H84" i="24" s="1"/>
  <c r="Z83" i="24"/>
  <c r="X83" i="24"/>
  <c r="U83" i="24"/>
  <c r="AA83" i="24" s="1"/>
  <c r="H83" i="24"/>
  <c r="Z82" i="24"/>
  <c r="X82" i="24"/>
  <c r="U82" i="24"/>
  <c r="AA82" i="24" s="1"/>
  <c r="H82" i="24"/>
  <c r="Z81" i="24"/>
  <c r="X81" i="24"/>
  <c r="U81" i="24"/>
  <c r="AA81" i="24" s="1"/>
  <c r="H81" i="24"/>
  <c r="E81" i="24"/>
  <c r="E82" i="24" s="1"/>
  <c r="E83" i="24" s="1"/>
  <c r="E84" i="24" s="1"/>
  <c r="E85" i="24" s="1"/>
  <c r="E86" i="24" s="1"/>
  <c r="E87" i="24" s="1"/>
  <c r="E88" i="24" s="1"/>
  <c r="E89" i="24" s="1"/>
  <c r="E90" i="24" s="1"/>
  <c r="E91" i="24" s="1"/>
  <c r="E92" i="24" s="1"/>
  <c r="E93" i="24" s="1"/>
  <c r="E94" i="24" s="1"/>
  <c r="E96" i="24" s="1"/>
  <c r="E97" i="24" s="1"/>
  <c r="E98" i="24" s="1"/>
  <c r="E99" i="24" s="1"/>
  <c r="E101" i="24" s="1"/>
  <c r="E102" i="24" s="1"/>
  <c r="E103" i="24" s="1"/>
  <c r="E104" i="24" s="1"/>
  <c r="E105" i="24" s="1"/>
  <c r="E106" i="24" s="1"/>
  <c r="E107" i="24" s="1"/>
  <c r="E108" i="24" s="1"/>
  <c r="E109" i="24" s="1"/>
  <c r="E110" i="24" s="1"/>
  <c r="E111" i="24" s="1"/>
  <c r="E112" i="24" s="1"/>
  <c r="E113" i="24" s="1"/>
  <c r="E114" i="24" s="1"/>
  <c r="E115" i="24" s="1"/>
  <c r="E117" i="24" s="1"/>
  <c r="E118" i="24" s="1"/>
  <c r="E119" i="24" s="1"/>
  <c r="E120" i="24" s="1"/>
  <c r="E121" i="24" s="1"/>
  <c r="E122" i="24" s="1"/>
  <c r="E124" i="24" s="1"/>
  <c r="E125" i="24" s="1"/>
  <c r="E126" i="24" s="1"/>
  <c r="E127" i="24" s="1"/>
  <c r="E129" i="24" s="1"/>
  <c r="E130" i="24" s="1"/>
  <c r="E131" i="24" s="1"/>
  <c r="E132" i="24" s="1"/>
  <c r="E133" i="24" s="1"/>
  <c r="E134" i="24" s="1"/>
  <c r="E135" i="24" s="1"/>
  <c r="E136" i="24" s="1"/>
  <c r="E137" i="24" s="1"/>
  <c r="E138" i="24" s="1"/>
  <c r="E139" i="24" s="1"/>
  <c r="E140" i="24" s="1"/>
  <c r="E141" i="24" s="1"/>
  <c r="E142" i="24" s="1"/>
  <c r="E143" i="24" s="1"/>
  <c r="E144" i="24" s="1"/>
  <c r="E145" i="24" s="1"/>
  <c r="E146" i="24" s="1"/>
  <c r="E147" i="24" s="1"/>
  <c r="E149" i="24" s="1"/>
  <c r="E151" i="24" s="1"/>
  <c r="E152" i="24" s="1"/>
  <c r="E154" i="24" s="1"/>
  <c r="E155" i="24" s="1"/>
  <c r="E157" i="24" s="1"/>
  <c r="E158" i="24" s="1"/>
  <c r="E159" i="24" s="1"/>
  <c r="E160" i="24" s="1"/>
  <c r="U80" i="24"/>
  <c r="H80" i="24"/>
  <c r="Y79" i="24"/>
  <c r="W79" i="24"/>
  <c r="V79" i="24"/>
  <c r="U79" i="24"/>
  <c r="H79" i="24"/>
  <c r="T78" i="24"/>
  <c r="S78" i="24"/>
  <c r="Q78" i="24"/>
  <c r="P78" i="24"/>
  <c r="O78" i="24"/>
  <c r="N78" i="24"/>
  <c r="M78" i="24"/>
  <c r="L78" i="24"/>
  <c r="K78" i="24"/>
  <c r="J78" i="24"/>
  <c r="Z77" i="24"/>
  <c r="X77" i="24"/>
  <c r="U77" i="24"/>
  <c r="AA77" i="24" s="1"/>
  <c r="H77" i="24"/>
  <c r="Z76" i="24"/>
  <c r="X76" i="24"/>
  <c r="U76" i="24"/>
  <c r="AA76" i="24" s="1"/>
  <c r="H76" i="24"/>
  <c r="Z75" i="24"/>
  <c r="X75" i="24"/>
  <c r="U75" i="24"/>
  <c r="AA75" i="24" s="1"/>
  <c r="H75" i="24"/>
  <c r="Z74" i="24"/>
  <c r="X74" i="24"/>
  <c r="U74" i="24"/>
  <c r="AA74" i="24" s="1"/>
  <c r="H74" i="24"/>
  <c r="Z73" i="24"/>
  <c r="X73" i="24"/>
  <c r="U73" i="24"/>
  <c r="AA73" i="24" s="1"/>
  <c r="H73" i="24"/>
  <c r="Z72" i="24"/>
  <c r="X72" i="24"/>
  <c r="U72" i="24"/>
  <c r="AA72" i="24" s="1"/>
  <c r="H72" i="24"/>
  <c r="Y71" i="24"/>
  <c r="X71" i="24"/>
  <c r="U71" i="24"/>
  <c r="H71" i="24"/>
  <c r="Z70" i="24"/>
  <c r="X70" i="24"/>
  <c r="U70" i="24"/>
  <c r="AA70" i="24" s="1"/>
  <c r="H70" i="24"/>
  <c r="Y69" i="24"/>
  <c r="X69" i="24"/>
  <c r="U69" i="24"/>
  <c r="H69" i="24"/>
  <c r="Y68" i="24"/>
  <c r="W68" i="24"/>
  <c r="V68" i="24"/>
  <c r="U68" i="24"/>
  <c r="H68" i="24"/>
  <c r="Y67" i="24"/>
  <c r="W67" i="24"/>
  <c r="V67" i="24"/>
  <c r="U67" i="24"/>
  <c r="H67" i="24"/>
  <c r="Z66" i="24"/>
  <c r="X66" i="24"/>
  <c r="U66" i="24"/>
  <c r="AA66" i="24" s="1"/>
  <c r="R66" i="24"/>
  <c r="Z65" i="24"/>
  <c r="X65" i="24"/>
  <c r="U65" i="24"/>
  <c r="AA65" i="24" s="1"/>
  <c r="R65" i="24"/>
  <c r="H65" i="24" s="1"/>
  <c r="Y64" i="24"/>
  <c r="Z64" i="24" s="1"/>
  <c r="X64" i="24"/>
  <c r="O64" i="24"/>
  <c r="N64" i="24"/>
  <c r="N56" i="24" s="1"/>
  <c r="M64" i="24"/>
  <c r="Y63" i="24"/>
  <c r="Z63" i="24" s="1"/>
  <c r="X63" i="24"/>
  <c r="O63" i="24"/>
  <c r="Z62" i="24"/>
  <c r="X62" i="24"/>
  <c r="M62" i="24"/>
  <c r="L62" i="24"/>
  <c r="L56" i="24" s="1"/>
  <c r="Z61" i="24"/>
  <c r="X61" i="24"/>
  <c r="O61" i="24"/>
  <c r="Z60" i="24"/>
  <c r="X60" i="24"/>
  <c r="U60" i="24"/>
  <c r="AA60" i="24" s="1"/>
  <c r="H60" i="24"/>
  <c r="Z59" i="24"/>
  <c r="X59" i="24"/>
  <c r="U59" i="24"/>
  <c r="AA59" i="24" s="1"/>
  <c r="H59" i="24"/>
  <c r="Z58" i="24"/>
  <c r="X58" i="24"/>
  <c r="U58" i="24"/>
  <c r="AA58" i="24" s="1"/>
  <c r="H58" i="24"/>
  <c r="Y57" i="24"/>
  <c r="Z57" i="24" s="1"/>
  <c r="X57" i="24"/>
  <c r="U57" i="24"/>
  <c r="H57" i="24"/>
  <c r="T56" i="24"/>
  <c r="S56" i="24"/>
  <c r="Q56" i="24"/>
  <c r="P56" i="24"/>
  <c r="K56" i="24"/>
  <c r="J56" i="24"/>
  <c r="I56" i="24"/>
  <c r="AF52" i="24"/>
  <c r="Y51" i="24"/>
  <c r="W51" i="24"/>
  <c r="V51" i="24"/>
  <c r="S51" i="24"/>
  <c r="R51" i="24"/>
  <c r="Q51" i="24"/>
  <c r="O51" i="24"/>
  <c r="N51" i="24"/>
  <c r="M51" i="24"/>
  <c r="K51" i="24"/>
  <c r="J51" i="24"/>
  <c r="I51" i="24"/>
  <c r="AC50" i="24"/>
  <c r="T49" i="24"/>
  <c r="R49" i="24"/>
  <c r="Q49" i="24"/>
  <c r="O49" i="24"/>
  <c r="N49" i="24"/>
  <c r="K49" i="24"/>
  <c r="I49" i="24"/>
  <c r="R47" i="24"/>
  <c r="Q47" i="24"/>
  <c r="N47" i="24"/>
  <c r="K47" i="24"/>
  <c r="J47" i="24"/>
  <c r="I47" i="24"/>
  <c r="AC46" i="24"/>
  <c r="K46" i="24"/>
  <c r="AE45" i="24"/>
  <c r="Y45" i="24"/>
  <c r="W45" i="24"/>
  <c r="V45" i="24"/>
  <c r="M49" i="24"/>
  <c r="Y44" i="24"/>
  <c r="W44" i="24"/>
  <c r="W49" i="24" s="1"/>
  <c r="V44" i="24"/>
  <c r="S49" i="24"/>
  <c r="J49" i="24"/>
  <c r="Z43" i="24"/>
  <c r="X43" i="24"/>
  <c r="Y47" i="24"/>
  <c r="W42" i="24"/>
  <c r="W47" i="24" s="1"/>
  <c r="V42" i="24"/>
  <c r="V47" i="24" s="1"/>
  <c r="S47" i="24"/>
  <c r="O47" i="24"/>
  <c r="M47" i="24"/>
  <c r="Y41" i="24"/>
  <c r="W41" i="24"/>
  <c r="V41" i="24"/>
  <c r="W40" i="24"/>
  <c r="V40" i="24"/>
  <c r="Z40" i="24" s="1"/>
  <c r="H40" i="24"/>
  <c r="AF39" i="24"/>
  <c r="AC39" i="24"/>
  <c r="J48" i="24"/>
  <c r="Y38" i="24"/>
  <c r="W38" i="24"/>
  <c r="V38" i="24"/>
  <c r="U38" i="24"/>
  <c r="Y37" i="24"/>
  <c r="W37" i="24"/>
  <c r="V37" i="24"/>
  <c r="Y36" i="24"/>
  <c r="W36" i="24"/>
  <c r="V36" i="24"/>
  <c r="Y35" i="24"/>
  <c r="W35" i="24"/>
  <c r="V35" i="24"/>
  <c r="H35" i="24"/>
  <c r="AF33" i="24"/>
  <c r="Y33" i="24"/>
  <c r="W33" i="24"/>
  <c r="V33" i="24"/>
  <c r="W32" i="24"/>
  <c r="V32" i="24"/>
  <c r="AF32" i="24" s="1"/>
  <c r="W31" i="24"/>
  <c r="V31" i="24"/>
  <c r="AF31" i="24" s="1"/>
  <c r="H31" i="24"/>
  <c r="E30" i="24"/>
  <c r="E34" i="24" s="1"/>
  <c r="E39" i="24" s="1"/>
  <c r="E42" i="24" s="1"/>
  <c r="E43" i="24" s="1"/>
  <c r="E44" i="24" s="1"/>
  <c r="E45" i="24" s="1"/>
  <c r="Y29" i="24"/>
  <c r="Z29" i="24" s="1"/>
  <c r="X29" i="24"/>
  <c r="H29" i="24"/>
  <c r="AE28" i="24"/>
  <c r="Z28" i="24"/>
  <c r="X28" i="24"/>
  <c r="U28" i="24"/>
  <c r="AA28" i="24" s="1"/>
  <c r="Z27" i="24"/>
  <c r="X27" i="24"/>
  <c r="U27" i="24"/>
  <c r="AA27" i="24" s="1"/>
  <c r="Z26" i="24"/>
  <c r="X26" i="24"/>
  <c r="N52" i="24"/>
  <c r="H52" i="24" s="1"/>
  <c r="Z25" i="24"/>
  <c r="X25" i="24"/>
  <c r="H25" i="24"/>
  <c r="Z24" i="24"/>
  <c r="X24" i="24"/>
  <c r="H24" i="24"/>
  <c r="Z23" i="24"/>
  <c r="Z51" i="24" s="1"/>
  <c r="X23" i="24"/>
  <c r="X51" i="24" s="1"/>
  <c r="U23" i="24"/>
  <c r="U51" i="24" s="1"/>
  <c r="Z22" i="24"/>
  <c r="X22" i="24"/>
  <c r="Y21" i="24"/>
  <c r="W21" i="24"/>
  <c r="V21" i="24"/>
  <c r="Z20" i="24"/>
  <c r="X20" i="24"/>
  <c r="Y19" i="24"/>
  <c r="W19" i="24"/>
  <c r="V19" i="24"/>
  <c r="H19" i="24"/>
  <c r="Y18" i="24"/>
  <c r="W18" i="24"/>
  <c r="V18" i="24"/>
  <c r="U18" i="24"/>
  <c r="Z17" i="24"/>
  <c r="X17" i="24"/>
  <c r="Y16" i="24"/>
  <c r="W16" i="24"/>
  <c r="V16" i="24"/>
  <c r="H16" i="24"/>
  <c r="Z15" i="24"/>
  <c r="X15" i="24"/>
  <c r="U15" i="24"/>
  <c r="AA15" i="24" s="1"/>
  <c r="Y14" i="24"/>
  <c r="W14" i="24"/>
  <c r="V14" i="24"/>
  <c r="Y13" i="24"/>
  <c r="Z13" i="24" s="1"/>
  <c r="X13" i="24"/>
  <c r="Y12" i="24"/>
  <c r="W12" i="24"/>
  <c r="V12" i="24"/>
  <c r="Y11" i="24"/>
  <c r="W11" i="24"/>
  <c r="V11" i="24"/>
  <c r="I46" i="24"/>
  <c r="Y10" i="24"/>
  <c r="Z10" i="24" s="1"/>
  <c r="X10" i="24"/>
  <c r="AF9" i="24"/>
  <c r="W9" i="24"/>
  <c r="V9" i="24"/>
  <c r="U9" i="24"/>
  <c r="Y8" i="24"/>
  <c r="W8" i="24"/>
  <c r="V8" i="24"/>
  <c r="L46" i="24"/>
  <c r="Y7" i="24"/>
  <c r="W7" i="24"/>
  <c r="V7" i="24"/>
  <c r="Y6" i="24"/>
  <c r="AE6" i="24" s="1"/>
  <c r="W6" i="24"/>
  <c r="V6" i="24"/>
  <c r="R46" i="24"/>
  <c r="P46" i="24"/>
  <c r="J46" i="24"/>
  <c r="Z186" i="24" l="1"/>
  <c r="V56" i="24"/>
  <c r="H123" i="24"/>
  <c r="X45" i="24"/>
  <c r="R277" i="24"/>
  <c r="AA38" i="24"/>
  <c r="X33" i="24"/>
  <c r="W188" i="24"/>
  <c r="X202" i="24"/>
  <c r="S277" i="24"/>
  <c r="U269" i="24"/>
  <c r="U249" i="24"/>
  <c r="Z273" i="24"/>
  <c r="U290" i="24"/>
  <c r="M56" i="24"/>
  <c r="M161" i="24" s="1"/>
  <c r="M162" i="24" s="1"/>
  <c r="AA92" i="24"/>
  <c r="L250" i="24"/>
  <c r="P250" i="24"/>
  <c r="T250" i="24"/>
  <c r="AA67" i="24"/>
  <c r="AA79" i="24"/>
  <c r="K188" i="24"/>
  <c r="X249" i="24"/>
  <c r="X269" i="24"/>
  <c r="X273" i="24"/>
  <c r="X7" i="24"/>
  <c r="Z19" i="24"/>
  <c r="L188" i="24"/>
  <c r="P188" i="24"/>
  <c r="X201" i="24"/>
  <c r="Z126" i="24"/>
  <c r="Z123" i="24" s="1"/>
  <c r="Z202" i="24"/>
  <c r="Y248" i="24"/>
  <c r="Y250" i="24" s="1"/>
  <c r="Z36" i="24"/>
  <c r="X38" i="24"/>
  <c r="AA57" i="24"/>
  <c r="Z67" i="24"/>
  <c r="Z151" i="24"/>
  <c r="X154" i="24"/>
  <c r="H156" i="24"/>
  <c r="Z45" i="24"/>
  <c r="X79" i="24"/>
  <c r="AA126" i="24"/>
  <c r="AA123" i="24" s="1"/>
  <c r="AA170" i="24"/>
  <c r="AA171" i="24" s="1"/>
  <c r="V188" i="24"/>
  <c r="X41" i="24"/>
  <c r="AA86" i="24"/>
  <c r="U95" i="24"/>
  <c r="AA98" i="24"/>
  <c r="U165" i="24"/>
  <c r="U172" i="24" s="1"/>
  <c r="M188" i="24"/>
  <c r="Z201" i="24"/>
  <c r="Z203" i="24" s="1"/>
  <c r="N275" i="24"/>
  <c r="N277" i="24" s="1"/>
  <c r="U64" i="24"/>
  <c r="AA64" i="24" s="1"/>
  <c r="Z91" i="24"/>
  <c r="AA102" i="24"/>
  <c r="Y148" i="24"/>
  <c r="AA154" i="24"/>
  <c r="V292" i="24"/>
  <c r="G296" i="24"/>
  <c r="W34" i="24"/>
  <c r="X18" i="24"/>
  <c r="X19" i="24"/>
  <c r="X37" i="24"/>
  <c r="X68" i="24"/>
  <c r="X106" i="24"/>
  <c r="Z154" i="24"/>
  <c r="Z187" i="24"/>
  <c r="Z188" i="24" s="1"/>
  <c r="S188" i="24"/>
  <c r="X210" i="24"/>
  <c r="X211" i="24" s="1"/>
  <c r="Z221" i="24"/>
  <c r="AA286" i="24"/>
  <c r="X9" i="24"/>
  <c r="X12" i="24"/>
  <c r="Y78" i="24"/>
  <c r="AA152" i="24"/>
  <c r="X156" i="24"/>
  <c r="U181" i="24"/>
  <c r="AA181" i="24" s="1"/>
  <c r="AA187" i="24" s="1"/>
  <c r="AA188" i="24" s="1"/>
  <c r="K266" i="24"/>
  <c r="O266" i="24"/>
  <c r="S266" i="24"/>
  <c r="Z286" i="24"/>
  <c r="Z21" i="24"/>
  <c r="H64" i="24"/>
  <c r="X14" i="24"/>
  <c r="R78" i="24"/>
  <c r="X152" i="24"/>
  <c r="N188" i="24"/>
  <c r="Z35" i="24"/>
  <c r="AA68" i="24"/>
  <c r="X87" i="24"/>
  <c r="Z106" i="24"/>
  <c r="AA151" i="24"/>
  <c r="U176" i="24"/>
  <c r="U177" i="24" s="1"/>
  <c r="J266" i="24"/>
  <c r="N266" i="24"/>
  <c r="R266" i="24"/>
  <c r="W266" i="24"/>
  <c r="V275" i="24"/>
  <c r="V46" i="24"/>
  <c r="X8" i="24"/>
  <c r="Z11" i="24"/>
  <c r="Z16" i="24"/>
  <c r="X21" i="24"/>
  <c r="H63" i="24"/>
  <c r="U63" i="24"/>
  <c r="AA63" i="24" s="1"/>
  <c r="H78" i="24"/>
  <c r="X105" i="24"/>
  <c r="Y156" i="24"/>
  <c r="Z157" i="24"/>
  <c r="Z156" i="24" s="1"/>
  <c r="O277" i="24"/>
  <c r="V39" i="24"/>
  <c r="AE39" i="24" s="1"/>
  <c r="U61" i="24"/>
  <c r="AA61" i="24" s="1"/>
  <c r="H61" i="24"/>
  <c r="O56" i="24"/>
  <c r="O161" i="24" s="1"/>
  <c r="O162" i="24" s="1"/>
  <c r="Y95" i="24"/>
  <c r="U265" i="24"/>
  <c r="AA262" i="24"/>
  <c r="AA265" i="24" s="1"/>
  <c r="U291" i="24"/>
  <c r="AA288" i="24"/>
  <c r="AA291" i="24" s="1"/>
  <c r="AE7" i="24"/>
  <c r="AA87" i="24"/>
  <c r="Z87" i="24"/>
  <c r="X32" i="24"/>
  <c r="X36" i="24"/>
  <c r="J188" i="24"/>
  <c r="V266" i="24"/>
  <c r="H274" i="24"/>
  <c r="W296" i="24"/>
  <c r="W290" i="24"/>
  <c r="W292" i="24" s="1"/>
  <c r="Z33" i="24"/>
  <c r="X40" i="24"/>
  <c r="X39" i="24" s="1"/>
  <c r="Y56" i="24"/>
  <c r="AA71" i="24"/>
  <c r="H95" i="24"/>
  <c r="Z115" i="24"/>
  <c r="U156" i="24"/>
  <c r="O188" i="24"/>
  <c r="Z210" i="24"/>
  <c r="T211" i="24"/>
  <c r="AA221" i="24"/>
  <c r="AA225" i="24"/>
  <c r="X248" i="24"/>
  <c r="AA238" i="24"/>
  <c r="Z249" i="24"/>
  <c r="I250" i="24"/>
  <c r="M250" i="24"/>
  <c r="Q250" i="24"/>
  <c r="V250" i="24"/>
  <c r="L266" i="24"/>
  <c r="P266" i="24"/>
  <c r="T266" i="24"/>
  <c r="J277" i="24"/>
  <c r="Z287" i="24"/>
  <c r="AA16" i="24"/>
  <c r="Z7" i="24"/>
  <c r="X11" i="24"/>
  <c r="X16" i="24"/>
  <c r="W30" i="24"/>
  <c r="X31" i="24"/>
  <c r="Z38" i="24"/>
  <c r="Y49" i="24"/>
  <c r="Z68" i="24"/>
  <c r="Z71" i="24"/>
  <c r="Z79" i="24"/>
  <c r="V78" i="24"/>
  <c r="Z98" i="24"/>
  <c r="Z102" i="24"/>
  <c r="AA106" i="24"/>
  <c r="X126" i="24"/>
  <c r="X123" i="24" s="1"/>
  <c r="U128" i="24"/>
  <c r="U148" i="24"/>
  <c r="AA149" i="24"/>
  <c r="AA148" i="24" s="1"/>
  <c r="H150" i="24"/>
  <c r="AA157" i="24"/>
  <c r="X172" i="24"/>
  <c r="X171" i="24"/>
  <c r="H176" i="24"/>
  <c r="H177" i="24" s="1"/>
  <c r="X176" i="24"/>
  <c r="X177" i="24" s="1"/>
  <c r="T188" i="24"/>
  <c r="Y188" i="24"/>
  <c r="U191" i="24"/>
  <c r="J211" i="24"/>
  <c r="N211" i="24"/>
  <c r="R211" i="24"/>
  <c r="W211" i="24"/>
  <c r="H216" i="24"/>
  <c r="AA213" i="24"/>
  <c r="AA216" i="24" s="1"/>
  <c r="Z225" i="24"/>
  <c r="AA239" i="24"/>
  <c r="J250" i="24"/>
  <c r="N250" i="24"/>
  <c r="R250" i="24"/>
  <c r="W250" i="24"/>
  <c r="H264" i="24"/>
  <c r="I266" i="24"/>
  <c r="M266" i="24"/>
  <c r="Q266" i="24"/>
  <c r="L275" i="24"/>
  <c r="L277" i="24" s="1"/>
  <c r="Q275" i="24"/>
  <c r="Q277" i="24" s="1"/>
  <c r="Y275" i="24"/>
  <c r="T277" i="24"/>
  <c r="U289" i="24"/>
  <c r="G290" i="24"/>
  <c r="G292" i="24" s="1"/>
  <c r="U296" i="24"/>
  <c r="AA296" i="24" s="1"/>
  <c r="AA287" i="24"/>
  <c r="J292" i="24"/>
  <c r="AA45" i="24"/>
  <c r="AA19" i="24"/>
  <c r="AA10" i="24"/>
  <c r="AA84" i="24"/>
  <c r="AA115" i="24"/>
  <c r="AA158" i="24"/>
  <c r="H171" i="24"/>
  <c r="Z165" i="24"/>
  <c r="Z172" i="24" s="1"/>
  <c r="Z176" i="24"/>
  <c r="Z177" i="24" s="1"/>
  <c r="X187" i="24"/>
  <c r="X188" i="24" s="1"/>
  <c r="H186" i="24"/>
  <c r="Q188" i="24"/>
  <c r="U186" i="24"/>
  <c r="I203" i="24"/>
  <c r="M203" i="24"/>
  <c r="Q203" i="24"/>
  <c r="V203" i="24"/>
  <c r="K211" i="24"/>
  <c r="O211" i="24"/>
  <c r="S211" i="24"/>
  <c r="H247" i="24"/>
  <c r="H250" i="24" s="1"/>
  <c r="K250" i="24"/>
  <c r="O250" i="24"/>
  <c r="S250" i="24"/>
  <c r="H265" i="24"/>
  <c r="U267" i="24"/>
  <c r="X270" i="24"/>
  <c r="I275" i="24"/>
  <c r="X295" i="24"/>
  <c r="U295" i="24"/>
  <c r="U39" i="24"/>
  <c r="AA40" i="24"/>
  <c r="P50" i="24"/>
  <c r="AA13" i="24"/>
  <c r="AC22" i="24" s="1"/>
  <c r="H10" i="24"/>
  <c r="H13" i="24"/>
  <c r="L51" i="24"/>
  <c r="H51" i="24" s="1"/>
  <c r="H14" i="24"/>
  <c r="AA14" i="24"/>
  <c r="H17" i="24"/>
  <c r="H20" i="24"/>
  <c r="H22" i="24"/>
  <c r="H41" i="24"/>
  <c r="H39" i="24" s="1"/>
  <c r="H43" i="24"/>
  <c r="L49" i="24"/>
  <c r="J50" i="24"/>
  <c r="AA9" i="24"/>
  <c r="AA18" i="24"/>
  <c r="AA23" i="24"/>
  <c r="AA51" i="24" s="1"/>
  <c r="AA29" i="24"/>
  <c r="H6" i="24"/>
  <c r="T48" i="24"/>
  <c r="AA6" i="24"/>
  <c r="N46" i="24"/>
  <c r="AA8" i="24"/>
  <c r="AA12" i="24"/>
  <c r="AA32" i="24"/>
  <c r="Z6" i="24"/>
  <c r="Z8" i="24"/>
  <c r="W46" i="24"/>
  <c r="U7" i="24"/>
  <c r="AA7" i="24" s="1"/>
  <c r="H8" i="24"/>
  <c r="Z9" i="24"/>
  <c r="H11" i="24"/>
  <c r="H12" i="24"/>
  <c r="AE12" i="24" s="1"/>
  <c r="Z14" i="24"/>
  <c r="Z18" i="24"/>
  <c r="U26" i="24"/>
  <c r="AA26" i="24" s="1"/>
  <c r="H27" i="24"/>
  <c r="N48" i="24"/>
  <c r="V30" i="24"/>
  <c r="Z31" i="24"/>
  <c r="U33" i="24"/>
  <c r="AA33" i="24" s="1"/>
  <c r="Y34" i="24"/>
  <c r="AE34" i="24" s="1"/>
  <c r="AA35" i="24"/>
  <c r="H36" i="24"/>
  <c r="U36" i="24"/>
  <c r="AA36" i="24" s="1"/>
  <c r="AA37" i="24"/>
  <c r="K48" i="24"/>
  <c r="K50" i="24" s="1"/>
  <c r="O48" i="24"/>
  <c r="S48" i="24"/>
  <c r="W39" i="24"/>
  <c r="Z41" i="24"/>
  <c r="Z39" i="24" s="1"/>
  <c r="X44" i="24"/>
  <c r="T46" i="24"/>
  <c r="W78" i="24"/>
  <c r="X91" i="24"/>
  <c r="AA105" i="24"/>
  <c r="Z105" i="24"/>
  <c r="AA107" i="24"/>
  <c r="Z107" i="24"/>
  <c r="X115" i="24"/>
  <c r="Z12" i="24"/>
  <c r="Y30" i="24"/>
  <c r="AE30" i="24" s="1"/>
  <c r="Z37" i="24"/>
  <c r="AF41" i="24"/>
  <c r="Z42" i="24"/>
  <c r="Z47" i="24" s="1"/>
  <c r="H165" i="24"/>
  <c r="H172" i="24" s="1"/>
  <c r="U201" i="24"/>
  <c r="AA197" i="24"/>
  <c r="AA201" i="24" s="1"/>
  <c r="H9" i="24"/>
  <c r="U11" i="24"/>
  <c r="AA11" i="24" s="1"/>
  <c r="AA31" i="24"/>
  <c r="H32" i="24"/>
  <c r="H30" i="24" s="1"/>
  <c r="Z32" i="24"/>
  <c r="V34" i="24"/>
  <c r="X35" i="24"/>
  <c r="AF40" i="24"/>
  <c r="AA41" i="24"/>
  <c r="H42" i="24"/>
  <c r="H47" i="24" s="1"/>
  <c r="X42" i="24"/>
  <c r="X47" i="24" s="1"/>
  <c r="U44" i="24"/>
  <c r="AA44" i="24" s="1"/>
  <c r="H45" i="24"/>
  <c r="M46" i="24"/>
  <c r="U91" i="24"/>
  <c r="AA91" i="24" s="1"/>
  <c r="I78" i="24"/>
  <c r="U78" i="24" s="1"/>
  <c r="V95" i="24"/>
  <c r="X143" i="24"/>
  <c r="X128" i="24" s="1"/>
  <c r="Z143" i="24"/>
  <c r="Z128" i="24" s="1"/>
  <c r="V128" i="24"/>
  <c r="R188" i="24"/>
  <c r="U247" i="24"/>
  <c r="AA219" i="24"/>
  <c r="R48" i="24"/>
  <c r="R50" i="24" s="1"/>
  <c r="X6" i="24"/>
  <c r="Y46" i="24"/>
  <c r="O46" i="24"/>
  <c r="S46" i="24"/>
  <c r="H26" i="24"/>
  <c r="L48" i="24"/>
  <c r="H37" i="24"/>
  <c r="I48" i="24"/>
  <c r="I50" i="24" s="1"/>
  <c r="M48" i="24"/>
  <c r="Q48" i="24"/>
  <c r="Q50" i="24" s="1"/>
  <c r="Y39" i="24"/>
  <c r="U42" i="24"/>
  <c r="U47" i="24" s="1"/>
  <c r="H44" i="24"/>
  <c r="V49" i="24"/>
  <c r="Z44" i="24"/>
  <c r="H62" i="24"/>
  <c r="H66" i="24"/>
  <c r="R56" i="24"/>
  <c r="R161" i="24" s="1"/>
  <c r="R162" i="24" s="1"/>
  <c r="W56" i="24"/>
  <c r="X67" i="24"/>
  <c r="AA69" i="24"/>
  <c r="Z69" i="24"/>
  <c r="AA99" i="24"/>
  <c r="Z99" i="24"/>
  <c r="X102" i="24"/>
  <c r="U123" i="24"/>
  <c r="H128" i="24"/>
  <c r="L161" i="24"/>
  <c r="L162" i="24" s="1"/>
  <c r="P161" i="24"/>
  <c r="P162" i="24" s="1"/>
  <c r="T161" i="24"/>
  <c r="T162" i="24" s="1"/>
  <c r="Q161" i="24"/>
  <c r="Q162" i="24" s="1"/>
  <c r="U62" i="24"/>
  <c r="AA62" i="24" s="1"/>
  <c r="U150" i="24"/>
  <c r="J161" i="24"/>
  <c r="J162" i="24" s="1"/>
  <c r="N161" i="24"/>
  <c r="N162" i="24" s="1"/>
  <c r="AA165" i="24"/>
  <c r="AA176" i="24"/>
  <c r="AA177" i="24" s="1"/>
  <c r="I188" i="24"/>
  <c r="W95" i="24"/>
  <c r="AA143" i="24"/>
  <c r="AA128" i="24" s="1"/>
  <c r="W150" i="24"/>
  <c r="X151" i="24"/>
  <c r="Z152" i="24"/>
  <c r="Z150" i="24" s="1"/>
  <c r="U202" i="24"/>
  <c r="AA199" i="24"/>
  <c r="AA202" i="24" s="1"/>
  <c r="H271" i="24"/>
  <c r="P276" i="24"/>
  <c r="P277" i="24" s="1"/>
  <c r="K161" i="24"/>
  <c r="K162" i="24" s="1"/>
  <c r="S161" i="24"/>
  <c r="S162" i="24" s="1"/>
  <c r="Z171" i="24"/>
  <c r="H187" i="24"/>
  <c r="H188" i="24" s="1"/>
  <c r="AA193" i="24"/>
  <c r="AA194" i="24" s="1"/>
  <c r="AA195" i="24" s="1"/>
  <c r="U194" i="24"/>
  <c r="U195" i="24" s="1"/>
  <c r="H211" i="24"/>
  <c r="L211" i="24"/>
  <c r="P211" i="24"/>
  <c r="U270" i="24"/>
  <c r="AA270" i="24" s="1"/>
  <c r="H270" i="24"/>
  <c r="Y150" i="24"/>
  <c r="U171" i="24"/>
  <c r="Y171" i="24"/>
  <c r="I172" i="24"/>
  <c r="Y172" i="24"/>
  <c r="Z211" i="24"/>
  <c r="Z216" i="24"/>
  <c r="X247" i="24"/>
  <c r="U248" i="24"/>
  <c r="U264" i="24"/>
  <c r="Y290" i="24"/>
  <c r="Y292" i="24" s="1"/>
  <c r="AA283" i="24"/>
  <c r="Z283" i="24"/>
  <c r="V296" i="24"/>
  <c r="V150" i="24"/>
  <c r="AA206" i="24"/>
  <c r="AA210" i="24" s="1"/>
  <c r="U210" i="24"/>
  <c r="M277" i="24"/>
  <c r="Z270" i="24"/>
  <c r="H273" i="24"/>
  <c r="U273" i="24"/>
  <c r="AA273" i="24" s="1"/>
  <c r="AC274" i="24" s="1"/>
  <c r="K275" i="24"/>
  <c r="K277" i="24" s="1"/>
  <c r="W275" i="24"/>
  <c r="X274" i="24"/>
  <c r="X275" i="24" s="1"/>
  <c r="V276" i="24"/>
  <c r="AA205" i="24"/>
  <c r="AA209" i="24" s="1"/>
  <c r="U209" i="24"/>
  <c r="Y264" i="24"/>
  <c r="Y266" i="24" s="1"/>
  <c r="AA256" i="24"/>
  <c r="AA264" i="24" s="1"/>
  <c r="Z256" i="24"/>
  <c r="Z264" i="24" s="1"/>
  <c r="Z266" i="24" s="1"/>
  <c r="X266" i="24"/>
  <c r="I276" i="24"/>
  <c r="Y276" i="24"/>
  <c r="AA269" i="24"/>
  <c r="Z269" i="24"/>
  <c r="AA245" i="24"/>
  <c r="AA249" i="24" s="1"/>
  <c r="W276" i="24"/>
  <c r="AA282" i="24"/>
  <c r="X289" i="24"/>
  <c r="X292" i="24" s="1"/>
  <c r="Z295" i="24"/>
  <c r="AA230" i="24"/>
  <c r="U274" i="24"/>
  <c r="Z238" i="24"/>
  <c r="Z248" i="24" s="1"/>
  <c r="Z274" i="24"/>
  <c r="X78" i="24" l="1"/>
  <c r="H266" i="24"/>
  <c r="AA172" i="24"/>
  <c r="H275" i="24"/>
  <c r="AA21" i="24"/>
  <c r="Z247" i="24"/>
  <c r="Z250" i="24" s="1"/>
  <c r="X203" i="24"/>
  <c r="AA247" i="24"/>
  <c r="V161" i="24"/>
  <c r="V162" i="24" s="1"/>
  <c r="W48" i="24"/>
  <c r="W50" i="24" s="1"/>
  <c r="X56" i="24"/>
  <c r="Z49" i="24"/>
  <c r="S50" i="24"/>
  <c r="S298" i="24" s="1"/>
  <c r="X49" i="24"/>
  <c r="X276" i="24"/>
  <c r="X277" i="24" s="1"/>
  <c r="AA248" i="24"/>
  <c r="Z275" i="24"/>
  <c r="I277" i="24"/>
  <c r="Z56" i="24"/>
  <c r="AA78" i="24"/>
  <c r="X34" i="24"/>
  <c r="Z78" i="24"/>
  <c r="X150" i="24"/>
  <c r="AF36" i="24"/>
  <c r="U292" i="24"/>
  <c r="V277" i="24"/>
  <c r="AA150" i="24"/>
  <c r="W277" i="24"/>
  <c r="Y48" i="24"/>
  <c r="O50" i="24"/>
  <c r="O298" i="24" s="1"/>
  <c r="AE10" i="24"/>
  <c r="AE11" i="24" s="1"/>
  <c r="Z290" i="24"/>
  <c r="Z292" i="24" s="1"/>
  <c r="X95" i="24"/>
  <c r="X250" i="24"/>
  <c r="Y277" i="24"/>
  <c r="H276" i="24"/>
  <c r="H277" i="24" s="1"/>
  <c r="AA39" i="24"/>
  <c r="AA95" i="24"/>
  <c r="U187" i="24"/>
  <c r="U188" i="24" s="1"/>
  <c r="V48" i="24"/>
  <c r="V50" i="24" s="1"/>
  <c r="AC51" i="24" s="1"/>
  <c r="AA56" i="24"/>
  <c r="Z95" i="24"/>
  <c r="H56" i="24"/>
  <c r="AA266" i="24"/>
  <c r="I161" i="24"/>
  <c r="I162" i="24" s="1"/>
  <c r="U276" i="24"/>
  <c r="Q298" i="24"/>
  <c r="AA49" i="24"/>
  <c r="AA203" i="24"/>
  <c r="AA276" i="24"/>
  <c r="K298" i="24"/>
  <c r="Y161" i="24"/>
  <c r="Y162" i="24" s="1"/>
  <c r="X46" i="24"/>
  <c r="AF42" i="24"/>
  <c r="AA156" i="24"/>
  <c r="X30" i="24"/>
  <c r="U266" i="24"/>
  <c r="R298" i="24"/>
  <c r="Z34" i="24"/>
  <c r="AF34" i="24" s="1"/>
  <c r="H49" i="24"/>
  <c r="P298" i="24"/>
  <c r="AA30" i="24"/>
  <c r="T50" i="24"/>
  <c r="T298" i="24" s="1"/>
  <c r="U21" i="24"/>
  <c r="U46" i="24" s="1"/>
  <c r="H34" i="24"/>
  <c r="H48" i="24" s="1"/>
  <c r="L50" i="24"/>
  <c r="L298" i="24" s="1"/>
  <c r="AE18" i="24"/>
  <c r="AA42" i="24"/>
  <c r="N50" i="24"/>
  <c r="N298" i="24" s="1"/>
  <c r="U211" i="24"/>
  <c r="U250" i="24"/>
  <c r="H21" i="24"/>
  <c r="H46" i="24" s="1"/>
  <c r="U203" i="24"/>
  <c r="Z30" i="24"/>
  <c r="M50" i="24"/>
  <c r="Z276" i="24"/>
  <c r="AA211" i="24"/>
  <c r="W161" i="24"/>
  <c r="W162" i="24" s="1"/>
  <c r="AA34" i="24"/>
  <c r="Z46" i="24"/>
  <c r="U275" i="24"/>
  <c r="AA274" i="24"/>
  <c r="AA275" i="24" s="1"/>
  <c r="AA290" i="24"/>
  <c r="AA292" i="24" s="1"/>
  <c r="Y50" i="24"/>
  <c r="U56" i="24"/>
  <c r="U49" i="24"/>
  <c r="U30" i="24"/>
  <c r="AA46" i="24"/>
  <c r="U34" i="24"/>
  <c r="Y9" i="22"/>
  <c r="AA250" i="24" l="1"/>
  <c r="Z277" i="24"/>
  <c r="I298" i="24"/>
  <c r="X161" i="24"/>
  <c r="X162" i="24" s="1"/>
  <c r="X48" i="24"/>
  <c r="X50" i="24" s="1"/>
  <c r="AE50" i="24" s="1"/>
  <c r="Z161" i="24"/>
  <c r="Z162" i="24" s="1"/>
  <c r="U277" i="24"/>
  <c r="AA277" i="24"/>
  <c r="Y298" i="24"/>
  <c r="AA161" i="24"/>
  <c r="AA162" i="24" s="1"/>
  <c r="Z48" i="24"/>
  <c r="AE49" i="24" s="1"/>
  <c r="W298" i="24"/>
  <c r="U48" i="24"/>
  <c r="U50" i="24" s="1"/>
  <c r="V298" i="24"/>
  <c r="G161" i="24"/>
  <c r="G162" i="24" s="1"/>
  <c r="U161" i="24"/>
  <c r="AA48" i="24"/>
  <c r="H50" i="24"/>
  <c r="M298" i="24"/>
  <c r="AE46" i="24"/>
  <c r="AC23" i="24"/>
  <c r="AA47" i="24"/>
  <c r="U162" i="24"/>
  <c r="J298" i="24"/>
  <c r="Z50" i="24" l="1"/>
  <c r="Z298" i="24" s="1"/>
  <c r="X298" i="24"/>
  <c r="AA50" i="24"/>
  <c r="AA298" i="24" s="1"/>
  <c r="U298" i="24"/>
  <c r="Y12" i="22" l="1"/>
  <c r="Y11" i="22"/>
  <c r="Y32" i="22"/>
  <c r="Y31" i="22"/>
  <c r="X29" i="22" l="1"/>
  <c r="Y29" i="22"/>
  <c r="Z29" i="22" s="1"/>
  <c r="AE9" i="22" l="1"/>
  <c r="AC46" i="22"/>
  <c r="Y8" i="22"/>
  <c r="Y170" i="22" l="1"/>
  <c r="Y10" i="22"/>
  <c r="Y13" i="22"/>
  <c r="U271" i="22"/>
  <c r="AA271" i="22" s="1"/>
  <c r="U272" i="22"/>
  <c r="U261" i="22"/>
  <c r="AA261" i="22" s="1"/>
  <c r="U262" i="22"/>
  <c r="AA262" i="22" s="1"/>
  <c r="U263" i="22"/>
  <c r="U257" i="22"/>
  <c r="U258" i="22"/>
  <c r="AA258" i="22" s="1"/>
  <c r="U259" i="22"/>
  <c r="U260" i="22"/>
  <c r="AA260" i="22" s="1"/>
  <c r="U256" i="22"/>
  <c r="U220" i="22"/>
  <c r="U221" i="22"/>
  <c r="U222" i="22"/>
  <c r="AA222" i="22" s="1"/>
  <c r="U223" i="22"/>
  <c r="AA223" i="22" s="1"/>
  <c r="U224" i="22"/>
  <c r="AA224" i="22" s="1"/>
  <c r="U225" i="22"/>
  <c r="U226" i="22"/>
  <c r="AA226" i="22" s="1"/>
  <c r="U227" i="22"/>
  <c r="U228" i="22"/>
  <c r="AA228" i="22" s="1"/>
  <c r="U229" i="22"/>
  <c r="U230" i="22"/>
  <c r="AA230" i="22" s="1"/>
  <c r="U231" i="22"/>
  <c r="U232" i="22"/>
  <c r="U233" i="22"/>
  <c r="U234" i="22"/>
  <c r="AA234" i="22" s="1"/>
  <c r="U235" i="22"/>
  <c r="AA235" i="22" s="1"/>
  <c r="U236" i="22"/>
  <c r="AA236" i="22" s="1"/>
  <c r="U237" i="22"/>
  <c r="AA237" i="22" s="1"/>
  <c r="U238" i="22"/>
  <c r="U239" i="22"/>
  <c r="U240" i="22"/>
  <c r="AA240" i="22" s="1"/>
  <c r="U241" i="22"/>
  <c r="AA241" i="22" s="1"/>
  <c r="U242" i="22"/>
  <c r="AA242" i="22" s="1"/>
  <c r="U243" i="22"/>
  <c r="AA243" i="22" s="1"/>
  <c r="U244" i="22"/>
  <c r="AA244" i="22" s="1"/>
  <c r="U245" i="22"/>
  <c r="AA245" i="22" s="1"/>
  <c r="U246" i="22"/>
  <c r="AA246" i="22" s="1"/>
  <c r="U219" i="22"/>
  <c r="U214" i="22"/>
  <c r="U215" i="22"/>
  <c r="AA215" i="22" s="1"/>
  <c r="U213" i="22"/>
  <c r="AA213" i="22" s="1"/>
  <c r="U206" i="22"/>
  <c r="U207" i="22"/>
  <c r="AA207" i="22" s="1"/>
  <c r="U208" i="22"/>
  <c r="U205" i="22"/>
  <c r="U209" i="22" s="1"/>
  <c r="U198" i="22"/>
  <c r="U199" i="22"/>
  <c r="U200" i="22"/>
  <c r="AA200" i="22" s="1"/>
  <c r="U197" i="22"/>
  <c r="U193" i="22"/>
  <c r="U190" i="22"/>
  <c r="U191" i="22" s="1"/>
  <c r="U180" i="22"/>
  <c r="AA180" i="22" s="1"/>
  <c r="U182" i="22"/>
  <c r="AA182" i="22" s="1"/>
  <c r="U183" i="22"/>
  <c r="U184" i="22"/>
  <c r="AA184" i="22" s="1"/>
  <c r="U185" i="22"/>
  <c r="U179" i="22"/>
  <c r="U175" i="22"/>
  <c r="U174" i="22"/>
  <c r="AA174" i="22" s="1"/>
  <c r="U58" i="22"/>
  <c r="U59" i="22"/>
  <c r="AA59" i="22" s="1"/>
  <c r="U60" i="22"/>
  <c r="U65" i="22"/>
  <c r="AA65" i="22" s="1"/>
  <c r="U66" i="22"/>
  <c r="U67" i="22"/>
  <c r="U68" i="22"/>
  <c r="U69" i="22"/>
  <c r="U70" i="22"/>
  <c r="U71" i="22"/>
  <c r="U72" i="22"/>
  <c r="U73" i="22"/>
  <c r="AA73" i="22" s="1"/>
  <c r="U74" i="22"/>
  <c r="U75" i="22"/>
  <c r="AA75" i="22" s="1"/>
  <c r="U76" i="22"/>
  <c r="U77" i="22"/>
  <c r="AA77" i="22" s="1"/>
  <c r="U79" i="22"/>
  <c r="U80" i="22"/>
  <c r="U81" i="22"/>
  <c r="AA81" i="22" s="1"/>
  <c r="U82" i="22"/>
  <c r="AA82" i="22" s="1"/>
  <c r="U83" i="22"/>
  <c r="AA83" i="22" s="1"/>
  <c r="U84" i="22"/>
  <c r="U85" i="22"/>
  <c r="AA85" i="22" s="1"/>
  <c r="U86" i="22"/>
  <c r="U87" i="22"/>
  <c r="U88" i="22"/>
  <c r="AA88" i="22" s="1"/>
  <c r="U89" i="22"/>
  <c r="AA89" i="22" s="1"/>
  <c r="U90" i="22"/>
  <c r="U93" i="22"/>
  <c r="AA93" i="22" s="1"/>
  <c r="U94" i="22"/>
  <c r="AA94" i="22" s="1"/>
  <c r="U96" i="22"/>
  <c r="U97" i="22"/>
  <c r="AA97" i="22" s="1"/>
  <c r="U98" i="22"/>
  <c r="U99" i="22"/>
  <c r="U100" i="22"/>
  <c r="U101" i="22"/>
  <c r="AA101" i="22" s="1"/>
  <c r="U102" i="22"/>
  <c r="U103" i="22"/>
  <c r="AA103" i="22" s="1"/>
  <c r="U104" i="22"/>
  <c r="U105" i="22"/>
  <c r="U106" i="22"/>
  <c r="U107" i="22"/>
  <c r="U108" i="22"/>
  <c r="U109" i="22"/>
  <c r="AA109" i="22" s="1"/>
  <c r="U110" i="22"/>
  <c r="U111" i="22"/>
  <c r="AA111" i="22" s="1"/>
  <c r="U112" i="22"/>
  <c r="U113" i="22"/>
  <c r="AA113" i="22" s="1"/>
  <c r="U114" i="22"/>
  <c r="U115" i="22"/>
  <c r="U116" i="22"/>
  <c r="U117" i="22"/>
  <c r="AA117" i="22" s="1"/>
  <c r="U118" i="22"/>
  <c r="U119" i="22"/>
  <c r="AA119" i="22" s="1"/>
  <c r="U120" i="22"/>
  <c r="U121" i="22"/>
  <c r="AA121" i="22" s="1"/>
  <c r="U122" i="22"/>
  <c r="U124" i="22"/>
  <c r="AA124" i="22" s="1"/>
  <c r="U125" i="22"/>
  <c r="AA125" i="22" s="1"/>
  <c r="U126" i="22"/>
  <c r="U127" i="22"/>
  <c r="AA127" i="22" s="1"/>
  <c r="U129" i="22"/>
  <c r="AA129" i="22" s="1"/>
  <c r="U130" i="22"/>
  <c r="U131" i="22"/>
  <c r="U132" i="22"/>
  <c r="AA132" i="22" s="1"/>
  <c r="U133" i="22"/>
  <c r="AA133" i="22" s="1"/>
  <c r="U134" i="22"/>
  <c r="U135" i="22"/>
  <c r="AA135" i="22" s="1"/>
  <c r="U136" i="22"/>
  <c r="AA136" i="22" s="1"/>
  <c r="U137" i="22"/>
  <c r="AA137" i="22" s="1"/>
  <c r="U138" i="22"/>
  <c r="U139" i="22"/>
  <c r="U140" i="22"/>
  <c r="U141" i="22"/>
  <c r="AA141" i="22" s="1"/>
  <c r="U142" i="22"/>
  <c r="U143" i="22"/>
  <c r="U144" i="22"/>
  <c r="AA144" i="22" s="1"/>
  <c r="U145" i="22"/>
  <c r="AA145" i="22" s="1"/>
  <c r="U146" i="22"/>
  <c r="U147" i="22"/>
  <c r="U149" i="22"/>
  <c r="U151" i="22"/>
  <c r="U152" i="22"/>
  <c r="U153" i="22"/>
  <c r="U154" i="22"/>
  <c r="U155" i="22"/>
  <c r="AA155" i="22" s="1"/>
  <c r="U157" i="22"/>
  <c r="U158" i="22"/>
  <c r="U159" i="22"/>
  <c r="U160" i="22"/>
  <c r="AA160" i="22" s="1"/>
  <c r="U163" i="22"/>
  <c r="U166" i="22"/>
  <c r="U167" i="22"/>
  <c r="U168" i="22"/>
  <c r="AA168" i="22" s="1"/>
  <c r="U169" i="22"/>
  <c r="AA169" i="22" s="1"/>
  <c r="U170" i="22"/>
  <c r="U57" i="22"/>
  <c r="U13" i="22"/>
  <c r="AA13" i="22" s="1"/>
  <c r="U15" i="22"/>
  <c r="U16" i="22"/>
  <c r="U17" i="22"/>
  <c r="AA17" i="22" s="1"/>
  <c r="U20" i="22"/>
  <c r="AA20" i="22" s="1"/>
  <c r="U22" i="22"/>
  <c r="AA22" i="22" s="1"/>
  <c r="U23" i="22"/>
  <c r="U24" i="22"/>
  <c r="AA24" i="22" s="1"/>
  <c r="U25" i="22"/>
  <c r="AA25" i="22" s="1"/>
  <c r="U28" i="22"/>
  <c r="U29" i="22"/>
  <c r="AA29" i="22" s="1"/>
  <c r="U38" i="22"/>
  <c r="U40" i="22"/>
  <c r="U39" i="22" s="1"/>
  <c r="U41" i="22"/>
  <c r="U43" i="22"/>
  <c r="AA43" i="22" s="1"/>
  <c r="X296" i="22"/>
  <c r="T296" i="22"/>
  <c r="S296" i="22"/>
  <c r="R296" i="22"/>
  <c r="Q296" i="22"/>
  <c r="P296" i="22"/>
  <c r="O296" i="22"/>
  <c r="N296" i="22"/>
  <c r="M296" i="22"/>
  <c r="L296" i="22"/>
  <c r="K296" i="22"/>
  <c r="J296" i="22"/>
  <c r="I296" i="22"/>
  <c r="Y295" i="22"/>
  <c r="W295" i="22"/>
  <c r="V295" i="22"/>
  <c r="J295" i="22"/>
  <c r="J294" i="22"/>
  <c r="Y291" i="22"/>
  <c r="X291" i="22"/>
  <c r="W291" i="22"/>
  <c r="V291" i="22"/>
  <c r="T291" i="22"/>
  <c r="S291" i="22"/>
  <c r="R291" i="22"/>
  <c r="Q291" i="22"/>
  <c r="P291" i="22"/>
  <c r="O291" i="22"/>
  <c r="N291" i="22"/>
  <c r="M291" i="22"/>
  <c r="L291" i="22"/>
  <c r="K291" i="22"/>
  <c r="J291" i="22"/>
  <c r="I291" i="22"/>
  <c r="X290" i="22"/>
  <c r="T290" i="22"/>
  <c r="S290" i="22"/>
  <c r="R290" i="22"/>
  <c r="Q290" i="22"/>
  <c r="P290" i="22"/>
  <c r="O290" i="22"/>
  <c r="N290" i="22"/>
  <c r="M290" i="22"/>
  <c r="L290" i="22"/>
  <c r="K290" i="22"/>
  <c r="J290" i="22"/>
  <c r="I290" i="22"/>
  <c r="Y289" i="22"/>
  <c r="W289" i="22"/>
  <c r="V289" i="22"/>
  <c r="T289" i="22"/>
  <c r="S289" i="22"/>
  <c r="R289" i="22"/>
  <c r="Q289" i="22"/>
  <c r="P289" i="22"/>
  <c r="O289" i="22"/>
  <c r="N289" i="22"/>
  <c r="M289" i="22"/>
  <c r="L289" i="22"/>
  <c r="K289" i="22"/>
  <c r="J289" i="22"/>
  <c r="I289" i="22"/>
  <c r="Z288" i="22"/>
  <c r="Z291" i="22" s="1"/>
  <c r="U288" i="22"/>
  <c r="H288" i="22"/>
  <c r="G291" i="22" s="1"/>
  <c r="Y287" i="22"/>
  <c r="W287" i="22"/>
  <c r="W296" i="22" s="1"/>
  <c r="V287" i="22"/>
  <c r="U287" i="22"/>
  <c r="H287" i="22"/>
  <c r="Y286" i="22"/>
  <c r="U286" i="22"/>
  <c r="H286" i="22"/>
  <c r="Z285" i="22"/>
  <c r="U285" i="22"/>
  <c r="AA285" i="22" s="1"/>
  <c r="Z284" i="22"/>
  <c r="U284" i="22"/>
  <c r="AA284" i="22" s="1"/>
  <c r="Y283" i="22"/>
  <c r="Z283" i="22" s="1"/>
  <c r="U283" i="22"/>
  <c r="H283" i="22"/>
  <c r="Z282" i="22"/>
  <c r="U282" i="22"/>
  <c r="AA282" i="22" s="1"/>
  <c r="H282" i="22"/>
  <c r="Z281" i="22"/>
  <c r="X281" i="22"/>
  <c r="U281" i="22"/>
  <c r="AA281" i="22" s="1"/>
  <c r="H281" i="22"/>
  <c r="Z280" i="22"/>
  <c r="X280" i="22"/>
  <c r="U280" i="22"/>
  <c r="U295" i="22" s="1"/>
  <c r="H280" i="22"/>
  <c r="G289" i="22" s="1"/>
  <c r="AA279" i="22"/>
  <c r="H279" i="22"/>
  <c r="T276" i="22"/>
  <c r="O276" i="22"/>
  <c r="K276" i="22"/>
  <c r="J276" i="22"/>
  <c r="T275" i="22"/>
  <c r="S275" i="22"/>
  <c r="Y274" i="22"/>
  <c r="W274" i="22"/>
  <c r="V274" i="22"/>
  <c r="R274" i="22"/>
  <c r="R275" i="22" s="1"/>
  <c r="Q274" i="22"/>
  <c r="P274" i="22"/>
  <c r="P275" i="22" s="1"/>
  <c r="O274" i="22"/>
  <c r="O275" i="22" s="1"/>
  <c r="N274" i="22"/>
  <c r="L274" i="22"/>
  <c r="K274" i="22"/>
  <c r="J274" i="22"/>
  <c r="I274" i="22"/>
  <c r="Y273" i="22"/>
  <c r="W273" i="22"/>
  <c r="V273" i="22"/>
  <c r="Q273" i="22"/>
  <c r="N273" i="22"/>
  <c r="M273" i="22"/>
  <c r="M275" i="22" s="1"/>
  <c r="L273" i="22"/>
  <c r="K273" i="22"/>
  <c r="I273" i="22"/>
  <c r="Z272" i="22"/>
  <c r="X272" i="22"/>
  <c r="AA272" i="22"/>
  <c r="H272" i="22"/>
  <c r="Z271" i="22"/>
  <c r="X271" i="22"/>
  <c r="P271" i="22"/>
  <c r="H271" i="22" s="1"/>
  <c r="AD270" i="22"/>
  <c r="Y270" i="22"/>
  <c r="W270" i="22"/>
  <c r="V270" i="22"/>
  <c r="S270" i="22"/>
  <c r="S276" i="22" s="1"/>
  <c r="R270" i="22"/>
  <c r="R276" i="22" s="1"/>
  <c r="Q270" i="22"/>
  <c r="Q276" i="22" s="1"/>
  <c r="N270" i="22"/>
  <c r="N276" i="22" s="1"/>
  <c r="M270" i="22"/>
  <c r="M276" i="22" s="1"/>
  <c r="L270" i="22"/>
  <c r="L276" i="22" s="1"/>
  <c r="I270" i="22"/>
  <c r="Y269" i="22"/>
  <c r="W269" i="22"/>
  <c r="V269" i="22"/>
  <c r="I269" i="22"/>
  <c r="U269" i="22" s="1"/>
  <c r="Y267" i="22"/>
  <c r="W267" i="22"/>
  <c r="V267" i="22"/>
  <c r="T267" i="22"/>
  <c r="S267" i="22"/>
  <c r="R267" i="22"/>
  <c r="Q267" i="22"/>
  <c r="P267" i="22"/>
  <c r="O267" i="22"/>
  <c r="N267" i="22"/>
  <c r="M267" i="22"/>
  <c r="L267" i="22"/>
  <c r="K267" i="22"/>
  <c r="J267" i="22"/>
  <c r="I267" i="22"/>
  <c r="Y265" i="22"/>
  <c r="W265" i="22"/>
  <c r="V265" i="22"/>
  <c r="T265" i="22"/>
  <c r="S265" i="22"/>
  <c r="R265" i="22"/>
  <c r="Q265" i="22"/>
  <c r="P265" i="22"/>
  <c r="O265" i="22"/>
  <c r="N265" i="22"/>
  <c r="M265" i="22"/>
  <c r="L265" i="22"/>
  <c r="K265" i="22"/>
  <c r="J265" i="22"/>
  <c r="I265" i="22"/>
  <c r="W264" i="22"/>
  <c r="V264" i="22"/>
  <c r="T264" i="22"/>
  <c r="S264" i="22"/>
  <c r="R264" i="22"/>
  <c r="Q264" i="22"/>
  <c r="P264" i="22"/>
  <c r="O264" i="22"/>
  <c r="N264" i="22"/>
  <c r="M264" i="22"/>
  <c r="L264" i="22"/>
  <c r="K264" i="22"/>
  <c r="J264" i="22"/>
  <c r="I264" i="22"/>
  <c r="Z263" i="22"/>
  <c r="Z267" i="22" s="1"/>
  <c r="X263" i="22"/>
  <c r="X267" i="22" s="1"/>
  <c r="H263" i="22"/>
  <c r="H267" i="22" s="1"/>
  <c r="Z262" i="22"/>
  <c r="X262" i="22"/>
  <c r="H262" i="22"/>
  <c r="Z261" i="22"/>
  <c r="X261" i="22"/>
  <c r="H261" i="22"/>
  <c r="Z260" i="22"/>
  <c r="X260" i="22"/>
  <c r="H260" i="22"/>
  <c r="Z259" i="22"/>
  <c r="X259" i="22"/>
  <c r="AA259" i="22"/>
  <c r="H259" i="22"/>
  <c r="Z258" i="22"/>
  <c r="X258" i="22"/>
  <c r="H258" i="22"/>
  <c r="Z257" i="22"/>
  <c r="X257" i="22"/>
  <c r="AA257" i="22"/>
  <c r="H257" i="22"/>
  <c r="Y256" i="22"/>
  <c r="X256" i="22"/>
  <c r="H256" i="22"/>
  <c r="Y253" i="22"/>
  <c r="W253" i="22"/>
  <c r="V253" i="22"/>
  <c r="U253" i="22"/>
  <c r="T253" i="22"/>
  <c r="S253" i="22"/>
  <c r="R253" i="22"/>
  <c r="Q253" i="22"/>
  <c r="P253" i="22"/>
  <c r="O253" i="22"/>
  <c r="N253" i="22"/>
  <c r="M253" i="22"/>
  <c r="L253" i="22"/>
  <c r="K253" i="22"/>
  <c r="J253" i="22"/>
  <c r="I253" i="22"/>
  <c r="H253" i="22"/>
  <c r="AA252" i="22"/>
  <c r="AA253" i="22" s="1"/>
  <c r="Z252" i="22"/>
  <c r="Z253" i="22" s="1"/>
  <c r="X252" i="22"/>
  <c r="X253" i="22" s="1"/>
  <c r="Y249" i="22"/>
  <c r="W249" i="22"/>
  <c r="V249" i="22"/>
  <c r="T249" i="22"/>
  <c r="S249" i="22"/>
  <c r="R249" i="22"/>
  <c r="Q249" i="22"/>
  <c r="P249" i="22"/>
  <c r="O249" i="22"/>
  <c r="N249" i="22"/>
  <c r="M249" i="22"/>
  <c r="L249" i="22"/>
  <c r="K249" i="22"/>
  <c r="J249" i="22"/>
  <c r="I249" i="22"/>
  <c r="H249" i="22"/>
  <c r="W248" i="22"/>
  <c r="V248" i="22"/>
  <c r="T248" i="22"/>
  <c r="S248" i="22"/>
  <c r="R248" i="22"/>
  <c r="Q248" i="22"/>
  <c r="P248" i="22"/>
  <c r="O248" i="22"/>
  <c r="N248" i="22"/>
  <c r="M248" i="22"/>
  <c r="L248" i="22"/>
  <c r="K248" i="22"/>
  <c r="J248" i="22"/>
  <c r="I248" i="22"/>
  <c r="W247" i="22"/>
  <c r="V247" i="22"/>
  <c r="T247" i="22"/>
  <c r="S247" i="22"/>
  <c r="R247" i="22"/>
  <c r="Q247" i="22"/>
  <c r="P247" i="22"/>
  <c r="O247" i="22"/>
  <c r="N247" i="22"/>
  <c r="M247" i="22"/>
  <c r="L247" i="22"/>
  <c r="K247" i="22"/>
  <c r="J247" i="22"/>
  <c r="I247" i="22"/>
  <c r="Z246" i="22"/>
  <c r="X246" i="22"/>
  <c r="Z245" i="22"/>
  <c r="X245" i="22"/>
  <c r="Z244" i="22"/>
  <c r="X244" i="22"/>
  <c r="Z243" i="22"/>
  <c r="X243" i="22"/>
  <c r="Z242" i="22"/>
  <c r="X242" i="22"/>
  <c r="Z241" i="22"/>
  <c r="X241" i="22"/>
  <c r="Z240" i="22"/>
  <c r="X240" i="22"/>
  <c r="Y239" i="22"/>
  <c r="Z239" i="22" s="1"/>
  <c r="X239" i="22"/>
  <c r="Y238" i="22"/>
  <c r="Z238" i="22" s="1"/>
  <c r="X238" i="22"/>
  <c r="Z237" i="22"/>
  <c r="X237" i="22"/>
  <c r="Z236" i="22"/>
  <c r="X236" i="22"/>
  <c r="Z235" i="22"/>
  <c r="X235" i="22"/>
  <c r="H235" i="22"/>
  <c r="H248" i="22" s="1"/>
  <c r="Z234" i="22"/>
  <c r="X234" i="22"/>
  <c r="AA233" i="22"/>
  <c r="Z233" i="22"/>
  <c r="X233" i="22"/>
  <c r="AA232" i="22"/>
  <c r="Z232" i="22"/>
  <c r="X232" i="22"/>
  <c r="AA231" i="22"/>
  <c r="Z231" i="22"/>
  <c r="X231" i="22"/>
  <c r="Z230" i="22"/>
  <c r="X230" i="22"/>
  <c r="AA229" i="22"/>
  <c r="Z229" i="22"/>
  <c r="X229" i="22"/>
  <c r="Z228" i="22"/>
  <c r="X228" i="22"/>
  <c r="AA227" i="22"/>
  <c r="Z227" i="22"/>
  <c r="X227" i="22"/>
  <c r="Z226" i="22"/>
  <c r="X226" i="22"/>
  <c r="H226" i="22"/>
  <c r="Y225" i="22"/>
  <c r="X225" i="22"/>
  <c r="H225" i="22"/>
  <c r="Z224" i="22"/>
  <c r="X224" i="22"/>
  <c r="H224" i="22"/>
  <c r="Z223" i="22"/>
  <c r="X223" i="22"/>
  <c r="H223" i="22"/>
  <c r="Z222" i="22"/>
  <c r="X222" i="22"/>
  <c r="H222" i="22"/>
  <c r="Y221" i="22"/>
  <c r="X221" i="22"/>
  <c r="H221" i="22"/>
  <c r="Z220" i="22"/>
  <c r="X220" i="22"/>
  <c r="AA220" i="22"/>
  <c r="H220" i="22"/>
  <c r="E220" i="22"/>
  <c r="E221" i="22" s="1"/>
  <c r="E222" i="22" s="1"/>
  <c r="E223" i="22" s="1"/>
  <c r="E224" i="22" s="1"/>
  <c r="E225" i="22" s="1"/>
  <c r="Z219" i="22"/>
  <c r="X219" i="22"/>
  <c r="H219" i="22"/>
  <c r="Y216" i="22"/>
  <c r="W216" i="22"/>
  <c r="V216" i="22"/>
  <c r="T216" i="22"/>
  <c r="S216" i="22"/>
  <c r="R216" i="22"/>
  <c r="Q216" i="22"/>
  <c r="P216" i="22"/>
  <c r="O216" i="22"/>
  <c r="N216" i="22"/>
  <c r="M216" i="22"/>
  <c r="L216" i="22"/>
  <c r="K216" i="22"/>
  <c r="J216" i="22"/>
  <c r="I216" i="22"/>
  <c r="Z215" i="22"/>
  <c r="X215" i="22"/>
  <c r="H215" i="22"/>
  <c r="Z214" i="22"/>
  <c r="X214" i="22"/>
  <c r="AA214" i="22"/>
  <c r="H214" i="22"/>
  <c r="Z213" i="22"/>
  <c r="X213" i="22"/>
  <c r="H213" i="22"/>
  <c r="Y210" i="22"/>
  <c r="W210" i="22"/>
  <c r="V210" i="22"/>
  <c r="T210" i="22"/>
  <c r="S210" i="22"/>
  <c r="R210" i="22"/>
  <c r="Q210" i="22"/>
  <c r="P210" i="22"/>
  <c r="O210" i="22"/>
  <c r="N210" i="22"/>
  <c r="M210" i="22"/>
  <c r="L210" i="22"/>
  <c r="K210" i="22"/>
  <c r="J210" i="22"/>
  <c r="I210" i="22"/>
  <c r="H210" i="22"/>
  <c r="Y209" i="22"/>
  <c r="Y211" i="22" s="1"/>
  <c r="W209" i="22"/>
  <c r="W211" i="22" s="1"/>
  <c r="V209" i="22"/>
  <c r="V211" i="22" s="1"/>
  <c r="T209" i="22"/>
  <c r="T211" i="22" s="1"/>
  <c r="S209" i="22"/>
  <c r="R209" i="22"/>
  <c r="R211" i="22" s="1"/>
  <c r="Q209" i="22"/>
  <c r="Q211" i="22" s="1"/>
  <c r="P209" i="22"/>
  <c r="O209" i="22"/>
  <c r="N209" i="22"/>
  <c r="M209" i="22"/>
  <c r="M211" i="22" s="1"/>
  <c r="L209" i="22"/>
  <c r="L211" i="22" s="1"/>
  <c r="K209" i="22"/>
  <c r="J209" i="22"/>
  <c r="J211" i="22" s="1"/>
  <c r="I209" i="22"/>
  <c r="I211" i="22" s="1"/>
  <c r="H209" i="22"/>
  <c r="Z208" i="22"/>
  <c r="X208" i="22"/>
  <c r="AA208" i="22"/>
  <c r="Z207" i="22"/>
  <c r="X207" i="22"/>
  <c r="Z206" i="22"/>
  <c r="X206" i="22"/>
  <c r="Z205" i="22"/>
  <c r="Z209" i="22" s="1"/>
  <c r="X205" i="22"/>
  <c r="X209" i="22" s="1"/>
  <c r="Y202" i="22"/>
  <c r="W202" i="22"/>
  <c r="V202" i="22"/>
  <c r="T202" i="22"/>
  <c r="S202" i="22"/>
  <c r="R202" i="22"/>
  <c r="Q202" i="22"/>
  <c r="P202" i="22"/>
  <c r="O202" i="22"/>
  <c r="N202" i="22"/>
  <c r="M202" i="22"/>
  <c r="L202" i="22"/>
  <c r="K202" i="22"/>
  <c r="J202" i="22"/>
  <c r="I202" i="22"/>
  <c r="H202" i="22"/>
  <c r="Y201" i="22"/>
  <c r="W201" i="22"/>
  <c r="W203" i="22" s="1"/>
  <c r="V201" i="22"/>
  <c r="V203" i="22" s="1"/>
  <c r="T201" i="22"/>
  <c r="T203" i="22" s="1"/>
  <c r="S201" i="22"/>
  <c r="R201" i="22"/>
  <c r="R203" i="22" s="1"/>
  <c r="Q201" i="22"/>
  <c r="Q203" i="22" s="1"/>
  <c r="P201" i="22"/>
  <c r="P203" i="22" s="1"/>
  <c r="O201" i="22"/>
  <c r="N201" i="22"/>
  <c r="N203" i="22" s="1"/>
  <c r="M201" i="22"/>
  <c r="M203" i="22" s="1"/>
  <c r="L201" i="22"/>
  <c r="L203" i="22" s="1"/>
  <c r="K201" i="22"/>
  <c r="J201" i="22"/>
  <c r="I201" i="22"/>
  <c r="I203" i="22" s="1"/>
  <c r="H201" i="22"/>
  <c r="H203" i="22" s="1"/>
  <c r="Z200" i="22"/>
  <c r="X200" i="22"/>
  <c r="Z199" i="22"/>
  <c r="X199" i="22"/>
  <c r="Z198" i="22"/>
  <c r="X198" i="22"/>
  <c r="AA198" i="22"/>
  <c r="Z197" i="22"/>
  <c r="X197" i="22"/>
  <c r="Y194" i="22"/>
  <c r="Y195" i="22" s="1"/>
  <c r="W194" i="22"/>
  <c r="W195" i="22" s="1"/>
  <c r="V194" i="22"/>
  <c r="V195" i="22" s="1"/>
  <c r="T194" i="22"/>
  <c r="T195" i="22" s="1"/>
  <c r="S194" i="22"/>
  <c r="S195" i="22" s="1"/>
  <c r="R194" i="22"/>
  <c r="R195" i="22" s="1"/>
  <c r="Q194" i="22"/>
  <c r="Q195" i="22" s="1"/>
  <c r="P194" i="22"/>
  <c r="P195" i="22" s="1"/>
  <c r="O194" i="22"/>
  <c r="O195" i="22" s="1"/>
  <c r="N194" i="22"/>
  <c r="N195" i="22" s="1"/>
  <c r="M194" i="22"/>
  <c r="M195" i="22" s="1"/>
  <c r="L194" i="22"/>
  <c r="L195" i="22" s="1"/>
  <c r="K194" i="22"/>
  <c r="K195" i="22" s="1"/>
  <c r="J194" i="22"/>
  <c r="J195" i="22" s="1"/>
  <c r="I194" i="22"/>
  <c r="I195" i="22" s="1"/>
  <c r="Z193" i="22"/>
  <c r="Z194" i="22" s="1"/>
  <c r="Z195" i="22" s="1"/>
  <c r="X193" i="22"/>
  <c r="X194" i="22" s="1"/>
  <c r="X195" i="22" s="1"/>
  <c r="AA193" i="22"/>
  <c r="AA194" i="22" s="1"/>
  <c r="AA195" i="22" s="1"/>
  <c r="H193" i="22"/>
  <c r="H194" i="22" s="1"/>
  <c r="H195" i="22" s="1"/>
  <c r="Y191" i="22"/>
  <c r="W191" i="22"/>
  <c r="V191" i="22"/>
  <c r="T191" i="22"/>
  <c r="S191" i="22"/>
  <c r="R191" i="22"/>
  <c r="Q191" i="22"/>
  <c r="P191" i="22"/>
  <c r="O191" i="22"/>
  <c r="N191" i="22"/>
  <c r="M191" i="22"/>
  <c r="L191" i="22"/>
  <c r="K191" i="22"/>
  <c r="J191" i="22"/>
  <c r="I191" i="22"/>
  <c r="H191" i="22"/>
  <c r="AA190" i="22"/>
  <c r="AA191" i="22" s="1"/>
  <c r="Z190" i="22"/>
  <c r="Z191" i="22" s="1"/>
  <c r="X190" i="22"/>
  <c r="X191" i="22" s="1"/>
  <c r="Y187" i="22"/>
  <c r="W187" i="22"/>
  <c r="V187" i="22"/>
  <c r="T187" i="22"/>
  <c r="S187" i="22"/>
  <c r="Q187" i="22"/>
  <c r="P187" i="22"/>
  <c r="O187" i="22"/>
  <c r="M187" i="22"/>
  <c r="L187" i="22"/>
  <c r="K187" i="22"/>
  <c r="J187" i="22"/>
  <c r="I187" i="22"/>
  <c r="Y186" i="22"/>
  <c r="W186" i="22"/>
  <c r="V186" i="22"/>
  <c r="T186" i="22"/>
  <c r="S186" i="22"/>
  <c r="R186" i="22"/>
  <c r="Q186" i="22"/>
  <c r="P186" i="22"/>
  <c r="O186" i="22"/>
  <c r="N186" i="22"/>
  <c r="M186" i="22"/>
  <c r="L186" i="22"/>
  <c r="K186" i="22"/>
  <c r="J186" i="22"/>
  <c r="I186" i="22"/>
  <c r="AA185" i="22"/>
  <c r="Z185" i="22"/>
  <c r="X185" i="22"/>
  <c r="Z184" i="22"/>
  <c r="X184" i="22"/>
  <c r="AA183" i="22"/>
  <c r="Z183" i="22"/>
  <c r="X183" i="22"/>
  <c r="R183" i="22"/>
  <c r="R187" i="22" s="1"/>
  <c r="Z182" i="22"/>
  <c r="X182" i="22"/>
  <c r="Z181" i="22"/>
  <c r="X181" i="22"/>
  <c r="N181" i="22"/>
  <c r="N187" i="22" s="1"/>
  <c r="Z180" i="22"/>
  <c r="X180" i="22"/>
  <c r="E180" i="22"/>
  <c r="E181" i="22" s="1"/>
  <c r="E182" i="22" s="1"/>
  <c r="E183" i="22" s="1"/>
  <c r="E184" i="22" s="1"/>
  <c r="E185" i="22" s="1"/>
  <c r="Z179" i="22"/>
  <c r="X179" i="22"/>
  <c r="Y176" i="22"/>
  <c r="Y177" i="22" s="1"/>
  <c r="W176" i="22"/>
  <c r="W177" i="22" s="1"/>
  <c r="V176" i="22"/>
  <c r="V177" i="22" s="1"/>
  <c r="T176" i="22"/>
  <c r="T177" i="22" s="1"/>
  <c r="S176" i="22"/>
  <c r="S177" i="22" s="1"/>
  <c r="R176" i="22"/>
  <c r="R177" i="22" s="1"/>
  <c r="Q176" i="22"/>
  <c r="Q177" i="22" s="1"/>
  <c r="P176" i="22"/>
  <c r="P177" i="22" s="1"/>
  <c r="O176" i="22"/>
  <c r="O177" i="22" s="1"/>
  <c r="N176" i="22"/>
  <c r="N177" i="22" s="1"/>
  <c r="M176" i="22"/>
  <c r="M177" i="22" s="1"/>
  <c r="L176" i="22"/>
  <c r="L177" i="22" s="1"/>
  <c r="K176" i="22"/>
  <c r="K177" i="22" s="1"/>
  <c r="J176" i="22"/>
  <c r="J177" i="22" s="1"/>
  <c r="I176" i="22"/>
  <c r="I177" i="22" s="1"/>
  <c r="AA175" i="22"/>
  <c r="Z175" i="22"/>
  <c r="X175" i="22"/>
  <c r="H175" i="22"/>
  <c r="E175" i="22"/>
  <c r="Z174" i="22"/>
  <c r="X174" i="22"/>
  <c r="H174" i="22"/>
  <c r="Y171" i="22"/>
  <c r="W171" i="22"/>
  <c r="V171" i="22"/>
  <c r="T171" i="22"/>
  <c r="S171" i="22"/>
  <c r="R171" i="22"/>
  <c r="Q171" i="22"/>
  <c r="P171" i="22"/>
  <c r="O171" i="22"/>
  <c r="N171" i="22"/>
  <c r="M171" i="22"/>
  <c r="L171" i="22"/>
  <c r="K171" i="22"/>
  <c r="J171" i="22"/>
  <c r="I171" i="22"/>
  <c r="AA170" i="22"/>
  <c r="Z170" i="22"/>
  <c r="X170" i="22"/>
  <c r="H170" i="22"/>
  <c r="Z169" i="22"/>
  <c r="X169" i="22"/>
  <c r="H169" i="22"/>
  <c r="Z168" i="22"/>
  <c r="X168" i="22"/>
  <c r="H168" i="22"/>
  <c r="Z167" i="22"/>
  <c r="X167" i="22"/>
  <c r="H167" i="22"/>
  <c r="Z166" i="22"/>
  <c r="X166" i="22"/>
  <c r="H166" i="22"/>
  <c r="Y165" i="22"/>
  <c r="Y172" i="22" s="1"/>
  <c r="W165" i="22"/>
  <c r="W172" i="22" s="1"/>
  <c r="V165" i="22"/>
  <c r="V172" i="22" s="1"/>
  <c r="T165" i="22"/>
  <c r="T172" i="22" s="1"/>
  <c r="S165" i="22"/>
  <c r="S172" i="22" s="1"/>
  <c r="R165" i="22"/>
  <c r="R172" i="22" s="1"/>
  <c r="Q165" i="22"/>
  <c r="Q172" i="22" s="1"/>
  <c r="P165" i="22"/>
  <c r="P172" i="22" s="1"/>
  <c r="O165" i="22"/>
  <c r="O172" i="22" s="1"/>
  <c r="N165" i="22"/>
  <c r="N172" i="22" s="1"/>
  <c r="M165" i="22"/>
  <c r="M172" i="22" s="1"/>
  <c r="L165" i="22"/>
  <c r="L172" i="22" s="1"/>
  <c r="K165" i="22"/>
  <c r="K172" i="22" s="1"/>
  <c r="J165" i="22"/>
  <c r="J172" i="22" s="1"/>
  <c r="I165" i="22"/>
  <c r="Z160" i="22"/>
  <c r="X160" i="22"/>
  <c r="H160" i="22"/>
  <c r="AA159" i="22"/>
  <c r="Z159" i="22"/>
  <c r="X159" i="22"/>
  <c r="H159" i="22"/>
  <c r="Y158" i="22"/>
  <c r="Z158" i="22" s="1"/>
  <c r="X158" i="22"/>
  <c r="H158" i="22"/>
  <c r="Y157" i="22"/>
  <c r="Z157" i="22" s="1"/>
  <c r="X157" i="22"/>
  <c r="H157" i="22"/>
  <c r="W156" i="22"/>
  <c r="V156" i="22"/>
  <c r="T156" i="22"/>
  <c r="S156" i="22"/>
  <c r="R156" i="22"/>
  <c r="Q156" i="22"/>
  <c r="P156" i="22"/>
  <c r="O156" i="22"/>
  <c r="N156" i="22"/>
  <c r="M156" i="22"/>
  <c r="L156" i="22"/>
  <c r="K156" i="22"/>
  <c r="J156" i="22"/>
  <c r="I156" i="22"/>
  <c r="Z155" i="22"/>
  <c r="X155" i="22"/>
  <c r="H155" i="22"/>
  <c r="Y154" i="22"/>
  <c r="W154" i="22"/>
  <c r="V154" i="22"/>
  <c r="H154" i="22"/>
  <c r="Y152" i="22"/>
  <c r="W152" i="22"/>
  <c r="V152" i="22"/>
  <c r="H152" i="22"/>
  <c r="Y151" i="22"/>
  <c r="W151" i="22"/>
  <c r="V151" i="22"/>
  <c r="H151" i="22"/>
  <c r="H150" i="22" s="1"/>
  <c r="T150" i="22"/>
  <c r="S150" i="22"/>
  <c r="R150" i="22"/>
  <c r="Q150" i="22"/>
  <c r="P150" i="22"/>
  <c r="O150" i="22"/>
  <c r="N150" i="22"/>
  <c r="M150" i="22"/>
  <c r="L150" i="22"/>
  <c r="K150" i="22"/>
  <c r="J150" i="22"/>
  <c r="I150" i="22"/>
  <c r="Y149" i="22"/>
  <c r="Z149" i="22" s="1"/>
  <c r="Z148" i="22" s="1"/>
  <c r="X149" i="22"/>
  <c r="X148" i="22" s="1"/>
  <c r="W148" i="22"/>
  <c r="V148" i="22"/>
  <c r="T148" i="22"/>
  <c r="S148" i="22"/>
  <c r="R148" i="22"/>
  <c r="Q148" i="22"/>
  <c r="P148" i="22"/>
  <c r="O148" i="22"/>
  <c r="N148" i="22"/>
  <c r="M148" i="22"/>
  <c r="L148" i="22"/>
  <c r="K148" i="22"/>
  <c r="J148" i="22"/>
  <c r="I148" i="22"/>
  <c r="H148" i="22"/>
  <c r="AA147" i="22"/>
  <c r="Z147" i="22"/>
  <c r="X147" i="22"/>
  <c r="H147" i="22"/>
  <c r="AA146" i="22"/>
  <c r="Z146" i="22"/>
  <c r="X146" i="22"/>
  <c r="H146" i="22"/>
  <c r="Z145" i="22"/>
  <c r="X145" i="22"/>
  <c r="H145" i="22"/>
  <c r="Z144" i="22"/>
  <c r="X144" i="22"/>
  <c r="H144" i="22"/>
  <c r="Y143" i="22"/>
  <c r="Y128" i="22" s="1"/>
  <c r="W143" i="22"/>
  <c r="W128" i="22" s="1"/>
  <c r="V143" i="22"/>
  <c r="V128" i="22" s="1"/>
  <c r="H143" i="22"/>
  <c r="AA142" i="22"/>
  <c r="Z142" i="22"/>
  <c r="X142" i="22"/>
  <c r="H142" i="22"/>
  <c r="Z141" i="22"/>
  <c r="X141" i="22"/>
  <c r="H141" i="22"/>
  <c r="Z140" i="22"/>
  <c r="X140" i="22"/>
  <c r="AA140" i="22"/>
  <c r="H140" i="22"/>
  <c r="Z139" i="22"/>
  <c r="X139" i="22"/>
  <c r="AA139" i="22"/>
  <c r="H139" i="22"/>
  <c r="AA138" i="22"/>
  <c r="Z138" i="22"/>
  <c r="X138" i="22"/>
  <c r="H138" i="22"/>
  <c r="Z137" i="22"/>
  <c r="X137" i="22"/>
  <c r="H137" i="22"/>
  <c r="Z136" i="22"/>
  <c r="X136" i="22"/>
  <c r="H136" i="22"/>
  <c r="Z135" i="22"/>
  <c r="X135" i="22"/>
  <c r="H135" i="22"/>
  <c r="AA134" i="22"/>
  <c r="Z134" i="22"/>
  <c r="X134" i="22"/>
  <c r="H134" i="22"/>
  <c r="Z133" i="22"/>
  <c r="X133" i="22"/>
  <c r="H133" i="22"/>
  <c r="Z132" i="22"/>
  <c r="X132" i="22"/>
  <c r="H132" i="22"/>
  <c r="Z131" i="22"/>
  <c r="X131" i="22"/>
  <c r="AA131" i="22"/>
  <c r="H131" i="22"/>
  <c r="AA130" i="22"/>
  <c r="Z130" i="22"/>
  <c r="X130" i="22"/>
  <c r="H130" i="22"/>
  <c r="Z129" i="22"/>
  <c r="X129" i="22"/>
  <c r="H129" i="22"/>
  <c r="T128" i="22"/>
  <c r="S128" i="22"/>
  <c r="R128" i="22"/>
  <c r="Q128" i="22"/>
  <c r="P128" i="22"/>
  <c r="O128" i="22"/>
  <c r="N128" i="22"/>
  <c r="M128" i="22"/>
  <c r="L128" i="22"/>
  <c r="K128" i="22"/>
  <c r="J128" i="22"/>
  <c r="I128" i="22"/>
  <c r="Z127" i="22"/>
  <c r="X127" i="22"/>
  <c r="H127" i="22"/>
  <c r="AD126" i="22"/>
  <c r="Y126" i="22"/>
  <c r="V126" i="22"/>
  <c r="X126" i="22" s="1"/>
  <c r="H126" i="22"/>
  <c r="Z125" i="22"/>
  <c r="X125" i="22"/>
  <c r="H125" i="22"/>
  <c r="Z124" i="22"/>
  <c r="X124" i="22"/>
  <c r="H124" i="22"/>
  <c r="W123" i="22"/>
  <c r="T123" i="22"/>
  <c r="S123" i="22"/>
  <c r="R123" i="22"/>
  <c r="Q123" i="22"/>
  <c r="P123" i="22"/>
  <c r="O123" i="22"/>
  <c r="N123" i="22"/>
  <c r="M123" i="22"/>
  <c r="L123" i="22"/>
  <c r="K123" i="22"/>
  <c r="J123" i="22"/>
  <c r="I123" i="22"/>
  <c r="AA122" i="22"/>
  <c r="Z121" i="22"/>
  <c r="X121" i="22"/>
  <c r="H121" i="22"/>
  <c r="AA120" i="22"/>
  <c r="Z120" i="22"/>
  <c r="X120" i="22"/>
  <c r="H120" i="22"/>
  <c r="Z119" i="22"/>
  <c r="X119" i="22"/>
  <c r="H119" i="22"/>
  <c r="AA118" i="22"/>
  <c r="Z118" i="22"/>
  <c r="X118" i="22"/>
  <c r="H118" i="22"/>
  <c r="Z117" i="22"/>
  <c r="X117" i="22"/>
  <c r="H117" i="22"/>
  <c r="Y115" i="22"/>
  <c r="W115" i="22"/>
  <c r="V115" i="22"/>
  <c r="H115" i="22"/>
  <c r="Z114" i="22"/>
  <c r="X114" i="22"/>
  <c r="AA114" i="22"/>
  <c r="H114" i="22"/>
  <c r="Z113" i="22"/>
  <c r="X113" i="22"/>
  <c r="H113" i="22"/>
  <c r="Z112" i="22"/>
  <c r="X112" i="22"/>
  <c r="AA112" i="22"/>
  <c r="H112" i="22"/>
  <c r="Z111" i="22"/>
  <c r="X111" i="22"/>
  <c r="H111" i="22"/>
  <c r="Z110" i="22"/>
  <c r="X110" i="22"/>
  <c r="AA110" i="22"/>
  <c r="H110" i="22"/>
  <c r="Z109" i="22"/>
  <c r="X109" i="22"/>
  <c r="H109" i="22"/>
  <c r="Z108" i="22"/>
  <c r="X108" i="22"/>
  <c r="AA108" i="22"/>
  <c r="H108" i="22"/>
  <c r="Y107" i="22"/>
  <c r="X107" i="22"/>
  <c r="H107" i="22"/>
  <c r="Y106" i="22"/>
  <c r="AA106" i="22" s="1"/>
  <c r="W106" i="22"/>
  <c r="V106" i="22"/>
  <c r="H106" i="22"/>
  <c r="Y105" i="22"/>
  <c r="W105" i="22"/>
  <c r="V105" i="22"/>
  <c r="H105" i="22"/>
  <c r="AA104" i="22"/>
  <c r="Z104" i="22"/>
  <c r="X104" i="22"/>
  <c r="H104" i="22"/>
  <c r="Z103" i="22"/>
  <c r="X103" i="22"/>
  <c r="H103" i="22"/>
  <c r="Y102" i="22"/>
  <c r="W102" i="22"/>
  <c r="V102" i="22"/>
  <c r="H102" i="22"/>
  <c r="Z101" i="22"/>
  <c r="X101" i="22"/>
  <c r="H101" i="22"/>
  <c r="H100" i="22"/>
  <c r="AD99" i="22"/>
  <c r="AD100" i="22" s="1"/>
  <c r="Y99" i="22"/>
  <c r="Z99" i="22" s="1"/>
  <c r="X99" i="22"/>
  <c r="H99" i="22"/>
  <c r="AC98" i="22"/>
  <c r="Y98" i="22"/>
  <c r="X98" i="22"/>
  <c r="H98" i="22"/>
  <c r="Z97" i="22"/>
  <c r="X97" i="22"/>
  <c r="H97" i="22"/>
  <c r="Z96" i="22"/>
  <c r="X96" i="22"/>
  <c r="AA96" i="22"/>
  <c r="H96" i="22"/>
  <c r="T95" i="22"/>
  <c r="S95" i="22"/>
  <c r="R95" i="22"/>
  <c r="Q95" i="22"/>
  <c r="P95" i="22"/>
  <c r="O95" i="22"/>
  <c r="N95" i="22"/>
  <c r="M95" i="22"/>
  <c r="L95" i="22"/>
  <c r="K95" i="22"/>
  <c r="J95" i="22"/>
  <c r="I95" i="22"/>
  <c r="Z94" i="22"/>
  <c r="X94" i="22"/>
  <c r="Z93" i="22"/>
  <c r="X93" i="22"/>
  <c r="Y92" i="22"/>
  <c r="Z92" i="22" s="1"/>
  <c r="X92" i="22"/>
  <c r="R92" i="22"/>
  <c r="I92" i="22"/>
  <c r="U92" i="22" s="1"/>
  <c r="Y91" i="22"/>
  <c r="W91" i="22"/>
  <c r="V91" i="22"/>
  <c r="R91" i="22"/>
  <c r="I91" i="22"/>
  <c r="U91" i="22" s="1"/>
  <c r="AA90" i="22"/>
  <c r="Z90" i="22"/>
  <c r="X90" i="22"/>
  <c r="Z89" i="22"/>
  <c r="X89" i="22"/>
  <c r="H89" i="22"/>
  <c r="Z88" i="22"/>
  <c r="X88" i="22"/>
  <c r="H88" i="22"/>
  <c r="Y87" i="22"/>
  <c r="W87" i="22"/>
  <c r="V87" i="22"/>
  <c r="H87" i="22"/>
  <c r="Y86" i="22"/>
  <c r="X86" i="22"/>
  <c r="H86" i="22"/>
  <c r="Z85" i="22"/>
  <c r="X85" i="22"/>
  <c r="H85" i="22"/>
  <c r="Y84" i="22"/>
  <c r="X84" i="22"/>
  <c r="R84" i="22"/>
  <c r="Z83" i="22"/>
  <c r="X83" i="22"/>
  <c r="H83" i="22"/>
  <c r="Z82" i="22"/>
  <c r="X82" i="22"/>
  <c r="H82" i="22"/>
  <c r="Z81" i="22"/>
  <c r="X81" i="22"/>
  <c r="H81" i="22"/>
  <c r="E81" i="22"/>
  <c r="E82" i="22" s="1"/>
  <c r="E83" i="22" s="1"/>
  <c r="E84" i="22" s="1"/>
  <c r="E85" i="22" s="1"/>
  <c r="E86" i="22" s="1"/>
  <c r="E87" i="22" s="1"/>
  <c r="E88" i="22" s="1"/>
  <c r="E89" i="22" s="1"/>
  <c r="E90" i="22" s="1"/>
  <c r="E91" i="22" s="1"/>
  <c r="E92" i="22" s="1"/>
  <c r="E93" i="22" s="1"/>
  <c r="E94" i="22" s="1"/>
  <c r="E96" i="22" s="1"/>
  <c r="E97" i="22" s="1"/>
  <c r="E98" i="22" s="1"/>
  <c r="E99" i="22" s="1"/>
  <c r="E101" i="22" s="1"/>
  <c r="E102" i="22" s="1"/>
  <c r="E103" i="22" s="1"/>
  <c r="E104" i="22" s="1"/>
  <c r="E105" i="22" s="1"/>
  <c r="E106" i="22" s="1"/>
  <c r="E107" i="22" s="1"/>
  <c r="E108" i="22" s="1"/>
  <c r="E109" i="22" s="1"/>
  <c r="E110" i="22" s="1"/>
  <c r="E111" i="22" s="1"/>
  <c r="E112" i="22" s="1"/>
  <c r="E113" i="22" s="1"/>
  <c r="E114" i="22" s="1"/>
  <c r="E115" i="22" s="1"/>
  <c r="E117" i="22" s="1"/>
  <c r="E118" i="22" s="1"/>
  <c r="E119" i="22" s="1"/>
  <c r="E120" i="22" s="1"/>
  <c r="E121" i="22" s="1"/>
  <c r="E122" i="22" s="1"/>
  <c r="E124" i="22" s="1"/>
  <c r="E125" i="22" s="1"/>
  <c r="E126" i="22" s="1"/>
  <c r="E127" i="22" s="1"/>
  <c r="E129" i="22" s="1"/>
  <c r="E130" i="22" s="1"/>
  <c r="E131" i="22" s="1"/>
  <c r="E132" i="22" s="1"/>
  <c r="E133" i="22" s="1"/>
  <c r="E134" i="22" s="1"/>
  <c r="E135" i="22" s="1"/>
  <c r="E136" i="22" s="1"/>
  <c r="E137" i="22" s="1"/>
  <c r="E138" i="22" s="1"/>
  <c r="E139" i="22" s="1"/>
  <c r="E140" i="22" s="1"/>
  <c r="E141" i="22" s="1"/>
  <c r="E142" i="22" s="1"/>
  <c r="E143" i="22" s="1"/>
  <c r="E144" i="22" s="1"/>
  <c r="E145" i="22" s="1"/>
  <c r="E146" i="22" s="1"/>
  <c r="E147" i="22" s="1"/>
  <c r="E149" i="22" s="1"/>
  <c r="E151" i="22" s="1"/>
  <c r="E152" i="22" s="1"/>
  <c r="E154" i="22" s="1"/>
  <c r="E155" i="22" s="1"/>
  <c r="E157" i="22" s="1"/>
  <c r="E158" i="22" s="1"/>
  <c r="E159" i="22" s="1"/>
  <c r="E160" i="22" s="1"/>
  <c r="H80" i="22"/>
  <c r="Y79" i="22"/>
  <c r="AA79" i="22" s="1"/>
  <c r="W79" i="22"/>
  <c r="V79" i="22"/>
  <c r="H79" i="22"/>
  <c r="T78" i="22"/>
  <c r="S78" i="22"/>
  <c r="Q78" i="22"/>
  <c r="P78" i="22"/>
  <c r="O78" i="22"/>
  <c r="N78" i="22"/>
  <c r="M78" i="22"/>
  <c r="L78" i="22"/>
  <c r="K78" i="22"/>
  <c r="J78" i="22"/>
  <c r="Z77" i="22"/>
  <c r="X77" i="22"/>
  <c r="H77" i="22"/>
  <c r="AA76" i="22"/>
  <c r="Z76" i="22"/>
  <c r="X76" i="22"/>
  <c r="H76" i="22"/>
  <c r="Z75" i="22"/>
  <c r="X75" i="22"/>
  <c r="H75" i="22"/>
  <c r="Z74" i="22"/>
  <c r="X74" i="22"/>
  <c r="AA74" i="22"/>
  <c r="H74" i="22"/>
  <c r="Z73" i="22"/>
  <c r="X73" i="22"/>
  <c r="H73" i="22"/>
  <c r="Z72" i="22"/>
  <c r="X72" i="22"/>
  <c r="AA72" i="22"/>
  <c r="H72" i="22"/>
  <c r="Y71" i="22"/>
  <c r="Z71" i="22" s="1"/>
  <c r="X71" i="22"/>
  <c r="H71" i="22"/>
  <c r="AA70" i="22"/>
  <c r="Z70" i="22"/>
  <c r="X70" i="22"/>
  <c r="H70" i="22"/>
  <c r="Y69" i="22"/>
  <c r="Z69" i="22" s="1"/>
  <c r="X69" i="22"/>
  <c r="H69" i="22"/>
  <c r="Y68" i="22"/>
  <c r="W68" i="22"/>
  <c r="V68" i="22"/>
  <c r="H68" i="22"/>
  <c r="Y67" i="22"/>
  <c r="W67" i="22"/>
  <c r="V67" i="22"/>
  <c r="H67" i="22"/>
  <c r="Z66" i="22"/>
  <c r="X66" i="22"/>
  <c r="AA66" i="22"/>
  <c r="R66" i="22"/>
  <c r="H66" i="22" s="1"/>
  <c r="Z65" i="22"/>
  <c r="X65" i="22"/>
  <c r="R65" i="22"/>
  <c r="H65" i="22" s="1"/>
  <c r="Y64" i="22"/>
  <c r="X64" i="22"/>
  <c r="O64" i="22"/>
  <c r="N64" i="22"/>
  <c r="N56" i="22" s="1"/>
  <c r="M64" i="22"/>
  <c r="Y63" i="22"/>
  <c r="X63" i="22"/>
  <c r="O63" i="22"/>
  <c r="Z62" i="22"/>
  <c r="X62" i="22"/>
  <c r="M62" i="22"/>
  <c r="L62" i="22"/>
  <c r="L56" i="22" s="1"/>
  <c r="Z61" i="22"/>
  <c r="X61" i="22"/>
  <c r="O61" i="22"/>
  <c r="H61" i="22" s="1"/>
  <c r="AA60" i="22"/>
  <c r="Z60" i="22"/>
  <c r="X60" i="22"/>
  <c r="H60" i="22"/>
  <c r="Z59" i="22"/>
  <c r="X59" i="22"/>
  <c r="H59" i="22"/>
  <c r="Z58" i="22"/>
  <c r="X58" i="22"/>
  <c r="AA58" i="22"/>
  <c r="H58" i="22"/>
  <c r="Y57" i="22"/>
  <c r="Z57" i="22" s="1"/>
  <c r="X57" i="22"/>
  <c r="H57" i="22"/>
  <c r="T56" i="22"/>
  <c r="S56" i="22"/>
  <c r="Q56" i="22"/>
  <c r="P56" i="22"/>
  <c r="K56" i="22"/>
  <c r="J56" i="22"/>
  <c r="I56" i="22"/>
  <c r="AE52" i="22"/>
  <c r="Y51" i="22"/>
  <c r="W51" i="22"/>
  <c r="V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AC50" i="22"/>
  <c r="T49" i="22"/>
  <c r="R49" i="22"/>
  <c r="Q49" i="22"/>
  <c r="P49" i="22"/>
  <c r="O49" i="22"/>
  <c r="N49" i="22"/>
  <c r="L49" i="22"/>
  <c r="K49" i="22"/>
  <c r="I49" i="22"/>
  <c r="T47" i="22"/>
  <c r="R47" i="22"/>
  <c r="Q47" i="22"/>
  <c r="N47" i="22"/>
  <c r="L47" i="22"/>
  <c r="K47" i="22"/>
  <c r="J47" i="22"/>
  <c r="I47" i="22"/>
  <c r="AD45" i="22"/>
  <c r="Y45" i="22"/>
  <c r="W45" i="22"/>
  <c r="V45" i="22"/>
  <c r="M45" i="22"/>
  <c r="M49" i="22" s="1"/>
  <c r="J45" i="22"/>
  <c r="Y44" i="22"/>
  <c r="W44" i="22"/>
  <c r="V44" i="22"/>
  <c r="S44" i="22"/>
  <c r="S49" i="22" s="1"/>
  <c r="J44" i="22"/>
  <c r="U44" i="22" s="1"/>
  <c r="Z43" i="22"/>
  <c r="X43" i="22"/>
  <c r="H43" i="22"/>
  <c r="Y42" i="22"/>
  <c r="W42" i="22"/>
  <c r="W47" i="22" s="1"/>
  <c r="V42" i="22"/>
  <c r="V47" i="22" s="1"/>
  <c r="S42" i="22"/>
  <c r="S47" i="22" s="1"/>
  <c r="P42" i="22"/>
  <c r="P47" i="22" s="1"/>
  <c r="O42" i="22"/>
  <c r="O47" i="22" s="1"/>
  <c r="M42" i="22"/>
  <c r="Y41" i="22"/>
  <c r="W41" i="22"/>
  <c r="V41" i="22"/>
  <c r="H41" i="22"/>
  <c r="Y40" i="22"/>
  <c r="AE40" i="22" s="1"/>
  <c r="W40" i="22"/>
  <c r="V40" i="22"/>
  <c r="V39" i="22" s="1"/>
  <c r="H40" i="22"/>
  <c r="AE39" i="22"/>
  <c r="AC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Y38" i="22"/>
  <c r="W38" i="22"/>
  <c r="V38" i="22"/>
  <c r="H38" i="22"/>
  <c r="Y37" i="22"/>
  <c r="W37" i="22"/>
  <c r="V37" i="22"/>
  <c r="T37" i="22"/>
  <c r="S37" i="22"/>
  <c r="S34" i="22" s="1"/>
  <c r="K37" i="22"/>
  <c r="Y36" i="22"/>
  <c r="W36" i="22"/>
  <c r="V36" i="22"/>
  <c r="R36" i="22"/>
  <c r="Q36" i="22"/>
  <c r="P36" i="22"/>
  <c r="P34" i="22" s="1"/>
  <c r="N36" i="22"/>
  <c r="N34" i="22" s="1"/>
  <c r="M36" i="22"/>
  <c r="L36" i="22"/>
  <c r="K36" i="22"/>
  <c r="Y35" i="22"/>
  <c r="W35" i="22"/>
  <c r="V35" i="22"/>
  <c r="R35" i="22"/>
  <c r="Q35" i="22"/>
  <c r="L35" i="22"/>
  <c r="K35" i="22"/>
  <c r="T34" i="22"/>
  <c r="O34" i="22"/>
  <c r="J34" i="22"/>
  <c r="I34" i="22"/>
  <c r="AE33" i="22"/>
  <c r="Y33" i="22"/>
  <c r="Y30" i="22" s="1"/>
  <c r="AD30" i="22" s="1"/>
  <c r="W33" i="22"/>
  <c r="V33" i="22"/>
  <c r="L33" i="22"/>
  <c r="U33" i="22" s="1"/>
  <c r="W32" i="22"/>
  <c r="V32" i="22"/>
  <c r="AE32" i="22" s="1"/>
  <c r="T32" i="22"/>
  <c r="N32" i="22"/>
  <c r="U32" i="22" s="1"/>
  <c r="W31" i="22"/>
  <c r="V31" i="22"/>
  <c r="AE31" i="22" s="1"/>
  <c r="T31" i="22"/>
  <c r="N31" i="22"/>
  <c r="S30" i="22"/>
  <c r="R30" i="22"/>
  <c r="Q30" i="22"/>
  <c r="P30" i="22"/>
  <c r="O30" i="22"/>
  <c r="M30" i="22"/>
  <c r="K30" i="22"/>
  <c r="J30" i="22"/>
  <c r="I30" i="22"/>
  <c r="E30" i="22"/>
  <c r="E34" i="22" s="1"/>
  <c r="E39" i="22" s="1"/>
  <c r="E42" i="22" s="1"/>
  <c r="E43" i="22" s="1"/>
  <c r="E44" i="22" s="1"/>
  <c r="E45" i="22" s="1"/>
  <c r="H29" i="22"/>
  <c r="AD28" i="22"/>
  <c r="AA28" i="22"/>
  <c r="Z28" i="22"/>
  <c r="X28" i="22"/>
  <c r="T28" i="22"/>
  <c r="T21" i="22" s="1"/>
  <c r="S28" i="22"/>
  <c r="Z27" i="22"/>
  <c r="X27" i="22"/>
  <c r="O27" i="22"/>
  <c r="U27" i="22" s="1"/>
  <c r="AA27" i="22" s="1"/>
  <c r="Z26" i="22"/>
  <c r="X26" i="22"/>
  <c r="N26" i="22"/>
  <c r="N21" i="22" s="1"/>
  <c r="Z25" i="22"/>
  <c r="X25" i="22"/>
  <c r="H25" i="22"/>
  <c r="Z24" i="22"/>
  <c r="X24" i="22"/>
  <c r="S24" i="22"/>
  <c r="H24" i="22" s="1"/>
  <c r="Z23" i="22"/>
  <c r="Z51" i="22" s="1"/>
  <c r="X23" i="22"/>
  <c r="X51" i="22" s="1"/>
  <c r="H23" i="22"/>
  <c r="Z22" i="22"/>
  <c r="X22" i="22"/>
  <c r="H22" i="22"/>
  <c r="Y21" i="22"/>
  <c r="W21" i="22"/>
  <c r="V21" i="22"/>
  <c r="R21" i="22"/>
  <c r="Q21" i="22"/>
  <c r="P21" i="22"/>
  <c r="M21" i="22"/>
  <c r="L21" i="22"/>
  <c r="K21" i="22"/>
  <c r="J21" i="22"/>
  <c r="I21" i="22"/>
  <c r="Z20" i="22"/>
  <c r="X20" i="22"/>
  <c r="S20" i="22"/>
  <c r="R20" i="22"/>
  <c r="Y19" i="22"/>
  <c r="W19" i="22"/>
  <c r="V19" i="22"/>
  <c r="K19" i="22"/>
  <c r="Y18" i="22"/>
  <c r="W18" i="22"/>
  <c r="V18" i="22"/>
  <c r="K18" i="22"/>
  <c r="J18" i="22"/>
  <c r="Z17" i="22"/>
  <c r="X17" i="22"/>
  <c r="S17" i="22"/>
  <c r="R17" i="22"/>
  <c r="P17" i="22"/>
  <c r="Y16" i="22"/>
  <c r="W16" i="22"/>
  <c r="V16" i="22"/>
  <c r="H16" i="22"/>
  <c r="AA15" i="22"/>
  <c r="Z15" i="22"/>
  <c r="X15" i="22"/>
  <c r="H15" i="22"/>
  <c r="Y14" i="22"/>
  <c r="W14" i="22"/>
  <c r="V14" i="22"/>
  <c r="N14" i="22"/>
  <c r="Z13" i="22"/>
  <c r="X13" i="22"/>
  <c r="T13" i="22"/>
  <c r="H13" i="22" s="1"/>
  <c r="W12" i="22"/>
  <c r="V12" i="22"/>
  <c r="Z12" i="22" s="1"/>
  <c r="S12" i="22"/>
  <c r="R12" i="22"/>
  <c r="M12" i="22"/>
  <c r="K12" i="22"/>
  <c r="J12" i="22"/>
  <c r="W11" i="22"/>
  <c r="V11" i="22"/>
  <c r="S11" i="22"/>
  <c r="R11" i="22"/>
  <c r="J11" i="22"/>
  <c r="I11" i="22"/>
  <c r="Z10" i="22"/>
  <c r="X10" i="22"/>
  <c r="S10" i="22"/>
  <c r="R10" i="22"/>
  <c r="O10" i="22"/>
  <c r="U10" i="22" s="1"/>
  <c r="AA10" i="22" s="1"/>
  <c r="W9" i="22"/>
  <c r="V9" i="22"/>
  <c r="Z9" i="22" s="1"/>
  <c r="T9" i="22"/>
  <c r="S9" i="22"/>
  <c r="R9" i="22"/>
  <c r="O9" i="22"/>
  <c r="M9" i="22"/>
  <c r="W8" i="22"/>
  <c r="V8" i="22"/>
  <c r="Z8" i="22" s="1"/>
  <c r="R8" i="22"/>
  <c r="M8" i="22"/>
  <c r="L8" i="22"/>
  <c r="K8" i="22"/>
  <c r="J8" i="22"/>
  <c r="Y7" i="22"/>
  <c r="W7" i="22"/>
  <c r="V7" i="22"/>
  <c r="T7" i="22"/>
  <c r="S7" i="22"/>
  <c r="R7" i="22"/>
  <c r="N7" i="22"/>
  <c r="M7" i="22"/>
  <c r="Y6" i="22"/>
  <c r="W6" i="22"/>
  <c r="V6" i="22"/>
  <c r="T6" i="22"/>
  <c r="R6" i="22"/>
  <c r="Q6" i="22"/>
  <c r="P6" i="22"/>
  <c r="O6" i="22"/>
  <c r="J6" i="22"/>
  <c r="S277" i="22" l="1"/>
  <c r="K211" i="22"/>
  <c r="AA38" i="22"/>
  <c r="M277" i="22"/>
  <c r="P211" i="22"/>
  <c r="O21" i="22"/>
  <c r="I46" i="22"/>
  <c r="H265" i="22"/>
  <c r="I250" i="22"/>
  <c r="M250" i="22"/>
  <c r="V250" i="22"/>
  <c r="U210" i="22"/>
  <c r="U211" i="22" s="1"/>
  <c r="AA86" i="22"/>
  <c r="W188" i="22"/>
  <c r="J188" i="22"/>
  <c r="H216" i="22"/>
  <c r="Z249" i="22"/>
  <c r="J250" i="22"/>
  <c r="N250" i="22"/>
  <c r="R250" i="22"/>
  <c r="W250" i="22"/>
  <c r="Y46" i="22"/>
  <c r="Q188" i="22"/>
  <c r="X87" i="22"/>
  <c r="Z202" i="22"/>
  <c r="X102" i="22"/>
  <c r="X91" i="22"/>
  <c r="W49" i="22"/>
  <c r="I275" i="22"/>
  <c r="N275" i="22"/>
  <c r="U45" i="22"/>
  <c r="Z201" i="22"/>
  <c r="X202" i="22"/>
  <c r="N277" i="22"/>
  <c r="V30" i="22"/>
  <c r="X32" i="22"/>
  <c r="V49" i="22"/>
  <c r="R56" i="22"/>
  <c r="U64" i="22"/>
  <c r="AA67" i="22"/>
  <c r="I78" i="22"/>
  <c r="U78" i="22" s="1"/>
  <c r="X105" i="22"/>
  <c r="AA151" i="22"/>
  <c r="X156" i="22"/>
  <c r="H171" i="22"/>
  <c r="M188" i="22"/>
  <c r="X248" i="22"/>
  <c r="X273" i="22"/>
  <c r="Z102" i="22"/>
  <c r="X115" i="22"/>
  <c r="U148" i="22"/>
  <c r="AA84" i="22"/>
  <c r="X210" i="22"/>
  <c r="X211" i="22" s="1"/>
  <c r="X216" i="22"/>
  <c r="P250" i="22"/>
  <c r="U247" i="22"/>
  <c r="H44" i="22"/>
  <c r="Z45" i="22"/>
  <c r="S188" i="22"/>
  <c r="U6" i="22"/>
  <c r="U9" i="22"/>
  <c r="AA9" i="22" s="1"/>
  <c r="X11" i="22"/>
  <c r="H35" i="22"/>
  <c r="X35" i="22"/>
  <c r="X37" i="22"/>
  <c r="X38" i="22"/>
  <c r="Z44" i="22"/>
  <c r="X45" i="22"/>
  <c r="V95" i="22"/>
  <c r="U128" i="22"/>
  <c r="Z187" i="22"/>
  <c r="U274" i="22"/>
  <c r="Z265" i="22"/>
  <c r="V266" i="22"/>
  <c r="H269" i="22"/>
  <c r="Z270" i="22"/>
  <c r="X6" i="22"/>
  <c r="H12" i="22"/>
  <c r="AD12" i="22" s="1"/>
  <c r="U18" i="22"/>
  <c r="X36" i="22"/>
  <c r="N266" i="22"/>
  <c r="X33" i="22"/>
  <c r="U35" i="22"/>
  <c r="U36" i="22"/>
  <c r="AA36" i="22" s="1"/>
  <c r="U123" i="22"/>
  <c r="Y156" i="22"/>
  <c r="U165" i="22"/>
  <c r="N188" i="22"/>
  <c r="R188" i="22"/>
  <c r="L266" i="22"/>
  <c r="P266" i="22"/>
  <c r="T266" i="22"/>
  <c r="L275" i="22"/>
  <c r="L277" i="22" s="1"/>
  <c r="H8" i="22"/>
  <c r="X8" i="22"/>
  <c r="H9" i="22"/>
  <c r="X9" i="22"/>
  <c r="X12" i="22"/>
  <c r="H20" i="22"/>
  <c r="H27" i="22"/>
  <c r="R34" i="22"/>
  <c r="R48" i="22" s="1"/>
  <c r="X41" i="22"/>
  <c r="Z79" i="22"/>
  <c r="AD98" i="22"/>
  <c r="Z115" i="22"/>
  <c r="U150" i="22"/>
  <c r="Z154" i="22"/>
  <c r="Z210" i="22"/>
  <c r="Z211" i="22" s="1"/>
  <c r="J292" i="22"/>
  <c r="U26" i="22"/>
  <c r="AA26" i="22" s="1"/>
  <c r="U171" i="22"/>
  <c r="AA69" i="22"/>
  <c r="V150" i="22"/>
  <c r="AA286" i="22"/>
  <c r="W290" i="22"/>
  <c r="AA157" i="22"/>
  <c r="U61" i="22"/>
  <c r="AA61" i="22" s="1"/>
  <c r="O46" i="22"/>
  <c r="U7" i="22"/>
  <c r="U8" i="22"/>
  <c r="AA8" i="22" s="1"/>
  <c r="H17" i="22"/>
  <c r="U49" i="22"/>
  <c r="I172" i="22"/>
  <c r="Z176" i="22"/>
  <c r="Z177" i="22" s="1"/>
  <c r="O188" i="22"/>
  <c r="O211" i="22"/>
  <c r="AA283" i="22"/>
  <c r="AD6" i="22"/>
  <c r="H31" i="22"/>
  <c r="N30" i="22"/>
  <c r="N48" i="22" s="1"/>
  <c r="U31" i="22"/>
  <c r="H63" i="22"/>
  <c r="U63" i="22"/>
  <c r="AA63" i="22" s="1"/>
  <c r="H84" i="22"/>
  <c r="H78" i="22" s="1"/>
  <c r="R78" i="22"/>
  <c r="H128" i="22"/>
  <c r="X165" i="22"/>
  <c r="X172" i="22" s="1"/>
  <c r="AA249" i="22"/>
  <c r="U42" i="22"/>
  <c r="U47" i="22" s="1"/>
  <c r="H42" i="22"/>
  <c r="H47" i="22" s="1"/>
  <c r="L34" i="22"/>
  <c r="X68" i="22"/>
  <c r="V56" i="22"/>
  <c r="AA152" i="22"/>
  <c r="Y150" i="22"/>
  <c r="H156" i="22"/>
  <c r="X247" i="22"/>
  <c r="R277" i="22"/>
  <c r="U14" i="22"/>
  <c r="AA14" i="22" s="1"/>
  <c r="H14" i="22"/>
  <c r="Q34" i="22"/>
  <c r="Q48" i="22" s="1"/>
  <c r="H19" i="22"/>
  <c r="U19" i="22"/>
  <c r="AA19" i="22" s="1"/>
  <c r="Z21" i="22"/>
  <c r="Y34" i="22"/>
  <c r="AD34" i="22" s="1"/>
  <c r="AE41" i="22"/>
  <c r="AE42" i="22" s="1"/>
  <c r="AA41" i="22"/>
  <c r="W56" i="22"/>
  <c r="X67" i="22"/>
  <c r="U95" i="22"/>
  <c r="AA107" i="22"/>
  <c r="Z107" i="22"/>
  <c r="Z126" i="22"/>
  <c r="Z123" i="22" s="1"/>
  <c r="AA126" i="22"/>
  <c r="AA123" i="22" s="1"/>
  <c r="Y123" i="22"/>
  <c r="U156" i="22"/>
  <c r="AA105" i="22"/>
  <c r="M46" i="22"/>
  <c r="J48" i="22"/>
  <c r="X40" i="22"/>
  <c r="V78" i="22"/>
  <c r="Z87" i="22"/>
  <c r="AA158" i="22"/>
  <c r="Z165" i="22"/>
  <c r="Z172" i="22" s="1"/>
  <c r="H176" i="22"/>
  <c r="H177" i="22" s="1"/>
  <c r="U176" i="22"/>
  <c r="U177" i="22" s="1"/>
  <c r="K188" i="22"/>
  <c r="N211" i="22"/>
  <c r="K250" i="22"/>
  <c r="O250" i="22"/>
  <c r="S250" i="22"/>
  <c r="T250" i="22"/>
  <c r="H264" i="22"/>
  <c r="X265" i="22"/>
  <c r="I266" i="22"/>
  <c r="M266" i="22"/>
  <c r="Q266" i="22"/>
  <c r="H273" i="22"/>
  <c r="AA280" i="22"/>
  <c r="AA289" i="22" s="1"/>
  <c r="Z286" i="22"/>
  <c r="U12" i="22"/>
  <c r="AA12" i="22" s="1"/>
  <c r="U273" i="22"/>
  <c r="AA273" i="22" s="1"/>
  <c r="AC274" i="22" s="1"/>
  <c r="X18" i="22"/>
  <c r="Q46" i="22"/>
  <c r="H10" i="22"/>
  <c r="X14" i="22"/>
  <c r="X16" i="22"/>
  <c r="Z18" i="22"/>
  <c r="X19" i="22"/>
  <c r="H32" i="22"/>
  <c r="I48" i="22"/>
  <c r="I50" i="22" s="1"/>
  <c r="Z37" i="22"/>
  <c r="O48" i="22"/>
  <c r="S48" i="22"/>
  <c r="Z40" i="22"/>
  <c r="Z41" i="22"/>
  <c r="X42" i="22"/>
  <c r="X47" i="22" s="1"/>
  <c r="AA45" i="22"/>
  <c r="W95" i="22"/>
  <c r="H95" i="22"/>
  <c r="Z105" i="22"/>
  <c r="H123" i="22"/>
  <c r="Y148" i="22"/>
  <c r="P161" i="22"/>
  <c r="P162" i="22" s="1"/>
  <c r="T161" i="22"/>
  <c r="T162" i="22" s="1"/>
  <c r="X151" i="22"/>
  <c r="AA166" i="22"/>
  <c r="H165" i="22"/>
  <c r="H172" i="22" s="1"/>
  <c r="L188" i="22"/>
  <c r="P188" i="22"/>
  <c r="T188" i="22"/>
  <c r="Y188" i="22"/>
  <c r="X201" i="22"/>
  <c r="S211" i="22"/>
  <c r="X249" i="22"/>
  <c r="Q250" i="22"/>
  <c r="X264" i="22"/>
  <c r="W266" i="22"/>
  <c r="V275" i="22"/>
  <c r="AA287" i="22"/>
  <c r="U289" i="22"/>
  <c r="Y290" i="22"/>
  <c r="Y292" i="22" s="1"/>
  <c r="U11" i="22"/>
  <c r="AA11" i="22" s="1"/>
  <c r="AA99" i="22"/>
  <c r="AC22" i="22"/>
  <c r="U270" i="22"/>
  <c r="U276" i="22" s="1"/>
  <c r="R46" i="22"/>
  <c r="K46" i="22"/>
  <c r="Z14" i="22"/>
  <c r="W30" i="22"/>
  <c r="AA35" i="22"/>
  <c r="Z35" i="22"/>
  <c r="K34" i="22"/>
  <c r="K48" i="22" s="1"/>
  <c r="H39" i="22"/>
  <c r="Z42" i="22"/>
  <c r="Z47" i="22" s="1"/>
  <c r="H51" i="22"/>
  <c r="W150" i="22"/>
  <c r="Z156" i="22"/>
  <c r="V188" i="22"/>
  <c r="Y203" i="22"/>
  <c r="K203" i="22"/>
  <c r="S203" i="22"/>
  <c r="H247" i="22"/>
  <c r="H250" i="22" s="1"/>
  <c r="AA225" i="22"/>
  <c r="K266" i="22"/>
  <c r="O266" i="22"/>
  <c r="S266" i="22"/>
  <c r="U267" i="22"/>
  <c r="U290" i="22"/>
  <c r="G296" i="22"/>
  <c r="U37" i="22"/>
  <c r="U62" i="22"/>
  <c r="AA62" i="22" s="1"/>
  <c r="U181" i="22"/>
  <c r="U187" i="22" s="1"/>
  <c r="U264" i="22"/>
  <c r="AA239" i="22"/>
  <c r="AA216" i="22"/>
  <c r="U186" i="22"/>
  <c r="AA179" i="22"/>
  <c r="AA186" i="22" s="1"/>
  <c r="AA176" i="22"/>
  <c r="AA177" i="22" s="1"/>
  <c r="AA18" i="22"/>
  <c r="H18" i="22"/>
  <c r="V46" i="22"/>
  <c r="W46" i="22"/>
  <c r="X7" i="22"/>
  <c r="H11" i="22"/>
  <c r="X21" i="22"/>
  <c r="U51" i="22"/>
  <c r="AA23" i="22"/>
  <c r="S21" i="22"/>
  <c r="H28" i="22"/>
  <c r="Z19" i="22"/>
  <c r="AA7" i="22"/>
  <c r="J46" i="22"/>
  <c r="H6" i="22"/>
  <c r="Z11" i="22"/>
  <c r="T46" i="22"/>
  <c r="N46" i="22"/>
  <c r="H7" i="22"/>
  <c r="AD7" i="22" s="1"/>
  <c r="Z7" i="22"/>
  <c r="Z16" i="22"/>
  <c r="AA16" i="22"/>
  <c r="N52" i="22"/>
  <c r="H52" i="22" s="1"/>
  <c r="H26" i="22"/>
  <c r="L161" i="22"/>
  <c r="L162" i="22" s="1"/>
  <c r="P46" i="22"/>
  <c r="Z32" i="22"/>
  <c r="Z33" i="22"/>
  <c r="V34" i="22"/>
  <c r="V48" i="22" s="1"/>
  <c r="Z36" i="22"/>
  <c r="Z38" i="22"/>
  <c r="P48" i="22"/>
  <c r="AA42" i="22"/>
  <c r="AA44" i="22"/>
  <c r="Z63" i="22"/>
  <c r="AA71" i="22"/>
  <c r="Z6" i="22"/>
  <c r="L46" i="22"/>
  <c r="L30" i="22"/>
  <c r="T30" i="22"/>
  <c r="T48" i="22" s="1"/>
  <c r="X31" i="22"/>
  <c r="AA32" i="22"/>
  <c r="H33" i="22"/>
  <c r="AA33" i="22"/>
  <c r="W34" i="22"/>
  <c r="H37" i="22"/>
  <c r="Y39" i="22"/>
  <c r="AD39" i="22"/>
  <c r="X44" i="22"/>
  <c r="H45" i="22"/>
  <c r="Y49" i="22"/>
  <c r="O56" i="22"/>
  <c r="O161" i="22" s="1"/>
  <c r="O162" i="22" s="1"/>
  <c r="H62" i="22"/>
  <c r="Z67" i="22"/>
  <c r="Y78" i="22"/>
  <c r="AA92" i="22"/>
  <c r="X106" i="22"/>
  <c r="V123" i="22"/>
  <c r="X143" i="22"/>
  <c r="X128" i="22" s="1"/>
  <c r="AA149" i="22"/>
  <c r="AA148" i="22" s="1"/>
  <c r="X152" i="22"/>
  <c r="AA154" i="22"/>
  <c r="J161" i="22"/>
  <c r="J162" i="22" s="1"/>
  <c r="N161" i="22"/>
  <c r="N162" i="22" s="1"/>
  <c r="Z186" i="22"/>
  <c r="Z188" i="22" s="1"/>
  <c r="M47" i="22"/>
  <c r="AA64" i="22"/>
  <c r="H64" i="22"/>
  <c r="M56" i="22"/>
  <c r="M161" i="22" s="1"/>
  <c r="M162" i="22" s="1"/>
  <c r="Z98" i="22"/>
  <c r="Y95" i="22"/>
  <c r="K161" i="22"/>
  <c r="K162" i="22" s="1"/>
  <c r="S161" i="22"/>
  <c r="S162" i="22" s="1"/>
  <c r="Z171" i="22"/>
  <c r="X187" i="22"/>
  <c r="Z31" i="22"/>
  <c r="M34" i="22"/>
  <c r="M48" i="22" s="1"/>
  <c r="H36" i="22"/>
  <c r="W39" i="22"/>
  <c r="J49" i="22"/>
  <c r="AA57" i="22"/>
  <c r="Y56" i="22"/>
  <c r="Z64" i="22"/>
  <c r="AA68" i="22"/>
  <c r="X79" i="22"/>
  <c r="Z84" i="22"/>
  <c r="Z86" i="22"/>
  <c r="AA87" i="22"/>
  <c r="AA91" i="22"/>
  <c r="AA98" i="22"/>
  <c r="Z106" i="22"/>
  <c r="Z143" i="22"/>
  <c r="Z128" i="22" s="1"/>
  <c r="Z151" i="22"/>
  <c r="Z152" i="22"/>
  <c r="X154" i="22"/>
  <c r="AA40" i="22"/>
  <c r="Y47" i="22"/>
  <c r="Z68" i="22"/>
  <c r="W78" i="22"/>
  <c r="Z91" i="22"/>
  <c r="AA102" i="22"/>
  <c r="AA115" i="22"/>
  <c r="X123" i="22"/>
  <c r="AA143" i="22"/>
  <c r="AA128" i="22" s="1"/>
  <c r="Q161" i="22"/>
  <c r="Q162" i="22" s="1"/>
  <c r="U172" i="22"/>
  <c r="AA167" i="22"/>
  <c r="X171" i="22"/>
  <c r="X186" i="22"/>
  <c r="U194" i="22"/>
  <c r="U195" i="22" s="1"/>
  <c r="O203" i="22"/>
  <c r="AA205" i="22"/>
  <c r="AA209" i="22" s="1"/>
  <c r="AA206" i="22"/>
  <c r="AA210" i="22" s="1"/>
  <c r="Z216" i="22"/>
  <c r="Z225" i="22"/>
  <c r="AA269" i="22"/>
  <c r="V276" i="22"/>
  <c r="X270" i="22"/>
  <c r="Y275" i="22"/>
  <c r="Z274" i="22"/>
  <c r="T277" i="22"/>
  <c r="Z289" i="22"/>
  <c r="V290" i="22"/>
  <c r="V292" i="22" s="1"/>
  <c r="V296" i="22"/>
  <c r="U291" i="22"/>
  <c r="AA288" i="22"/>
  <c r="AA291" i="22" s="1"/>
  <c r="H186" i="22"/>
  <c r="I188" i="22"/>
  <c r="U201" i="22"/>
  <c r="AA197" i="22"/>
  <c r="AA201" i="22" s="1"/>
  <c r="H211" i="22"/>
  <c r="Z248" i="22"/>
  <c r="L250" i="22"/>
  <c r="U249" i="22"/>
  <c r="AA256" i="22"/>
  <c r="AA264" i="22" s="1"/>
  <c r="J266" i="22"/>
  <c r="R266" i="22"/>
  <c r="H270" i="22"/>
  <c r="H276" i="22" s="1"/>
  <c r="J275" i="22"/>
  <c r="J277" i="22" s="1"/>
  <c r="H274" i="22"/>
  <c r="AA219" i="22"/>
  <c r="Y247" i="22"/>
  <c r="AA221" i="22"/>
  <c r="U265" i="22"/>
  <c r="AA263" i="22"/>
  <c r="AA267" i="22" s="1"/>
  <c r="X176" i="22"/>
  <c r="X177" i="22" s="1"/>
  <c r="H187" i="22"/>
  <c r="U202" i="22"/>
  <c r="AA199" i="22"/>
  <c r="AA202" i="22" s="1"/>
  <c r="J203" i="22"/>
  <c r="U216" i="22"/>
  <c r="Z221" i="22"/>
  <c r="AA238" i="22"/>
  <c r="U248" i="22"/>
  <c r="Y248" i="22"/>
  <c r="I276" i="22"/>
  <c r="Y276" i="22"/>
  <c r="Z269" i="22"/>
  <c r="Q275" i="22"/>
  <c r="Q277" i="22" s="1"/>
  <c r="W275" i="22"/>
  <c r="X274" i="22"/>
  <c r="P276" i="22"/>
  <c r="P277" i="22" s="1"/>
  <c r="X295" i="22"/>
  <c r="X289" i="22"/>
  <c r="X292" i="22" s="1"/>
  <c r="Y264" i="22"/>
  <c r="Y266" i="22" s="1"/>
  <c r="Z256" i="22"/>
  <c r="Z264" i="22" s="1"/>
  <c r="X269" i="22"/>
  <c r="W276" i="22"/>
  <c r="Z273" i="22"/>
  <c r="K275" i="22"/>
  <c r="K277" i="22" s="1"/>
  <c r="O277" i="22"/>
  <c r="G290" i="22"/>
  <c r="G292" i="22" s="1"/>
  <c r="U296" i="22"/>
  <c r="AA296" i="22" s="1"/>
  <c r="Z287" i="22"/>
  <c r="W292" i="22"/>
  <c r="Z295" i="22"/>
  <c r="AA270" i="22" l="1"/>
  <c r="X203" i="22"/>
  <c r="I161" i="22"/>
  <c r="H21" i="22"/>
  <c r="H46" i="22" s="1"/>
  <c r="AA248" i="22"/>
  <c r="U21" i="22"/>
  <c r="H266" i="22"/>
  <c r="H275" i="22"/>
  <c r="H277" i="22" s="1"/>
  <c r="Z203" i="22"/>
  <c r="Z266" i="22"/>
  <c r="I277" i="22"/>
  <c r="L48" i="22"/>
  <c r="L50" i="22" s="1"/>
  <c r="L298" i="22" s="1"/>
  <c r="H49" i="22"/>
  <c r="Y48" i="22"/>
  <c r="X39" i="22"/>
  <c r="Z49" i="22"/>
  <c r="X275" i="22"/>
  <c r="Z276" i="22"/>
  <c r="X78" i="22"/>
  <c r="X49" i="22"/>
  <c r="X276" i="22"/>
  <c r="X277" i="22" s="1"/>
  <c r="U292" i="22"/>
  <c r="AA39" i="22"/>
  <c r="X30" i="22"/>
  <c r="AA290" i="22"/>
  <c r="AA292" i="22" s="1"/>
  <c r="O50" i="22"/>
  <c r="O298" i="22" s="1"/>
  <c r="R161" i="22"/>
  <c r="R162" i="22" s="1"/>
  <c r="X34" i="22"/>
  <c r="V161" i="22"/>
  <c r="V162" i="22" s="1"/>
  <c r="Q50" i="22"/>
  <c r="Z290" i="22"/>
  <c r="Z292" i="22" s="1"/>
  <c r="AA150" i="22"/>
  <c r="K50" i="22"/>
  <c r="K298" i="22" s="1"/>
  <c r="U188" i="22"/>
  <c r="U34" i="22"/>
  <c r="X250" i="22"/>
  <c r="H30" i="22"/>
  <c r="AA156" i="22"/>
  <c r="AA181" i="22"/>
  <c r="AA187" i="22" s="1"/>
  <c r="AA188" i="22" s="1"/>
  <c r="X95" i="22"/>
  <c r="X188" i="22"/>
  <c r="AA49" i="22"/>
  <c r="W48" i="22"/>
  <c r="W50" i="22" s="1"/>
  <c r="X46" i="22"/>
  <c r="AA37" i="22"/>
  <c r="AA34" i="22" s="1"/>
  <c r="W161" i="22"/>
  <c r="W162" i="22" s="1"/>
  <c r="Z247" i="22"/>
  <c r="Z250" i="22" s="1"/>
  <c r="X150" i="22"/>
  <c r="H56" i="22"/>
  <c r="AE36" i="22"/>
  <c r="N50" i="22"/>
  <c r="N298" i="22" s="1"/>
  <c r="X56" i="22"/>
  <c r="U30" i="22"/>
  <c r="AA31" i="22"/>
  <c r="AA30" i="22" s="1"/>
  <c r="Z150" i="22"/>
  <c r="H34" i="22"/>
  <c r="Z39" i="22"/>
  <c r="Z78" i="22"/>
  <c r="V277" i="22"/>
  <c r="AA165" i="22"/>
  <c r="AA172" i="22" s="1"/>
  <c r="Y161" i="22"/>
  <c r="Y162" i="22" s="1"/>
  <c r="AA47" i="22"/>
  <c r="AA265" i="22"/>
  <c r="AA266" i="22" s="1"/>
  <c r="Y250" i="22"/>
  <c r="U161" i="22"/>
  <c r="Z56" i="22"/>
  <c r="Z95" i="22"/>
  <c r="M50" i="22"/>
  <c r="M298" i="22" s="1"/>
  <c r="Z46" i="22"/>
  <c r="Z34" i="22"/>
  <c r="R50" i="22"/>
  <c r="X266" i="22"/>
  <c r="Z30" i="22"/>
  <c r="U266" i="22"/>
  <c r="AA211" i="22"/>
  <c r="U203" i="22"/>
  <c r="AA78" i="22"/>
  <c r="AA171" i="22"/>
  <c r="AA95" i="22"/>
  <c r="U250" i="22"/>
  <c r="AA203" i="22"/>
  <c r="Z275" i="22"/>
  <c r="Z277" i="22" s="1"/>
  <c r="AA276" i="22"/>
  <c r="Q298" i="22"/>
  <c r="T50" i="22"/>
  <c r="T298" i="22" s="1"/>
  <c r="J50" i="22"/>
  <c r="S46" i="22"/>
  <c r="S50" i="22" s="1"/>
  <c r="V50" i="22"/>
  <c r="AC51" i="22" s="1"/>
  <c r="W277" i="22"/>
  <c r="U275" i="22"/>
  <c r="U277" i="22" s="1"/>
  <c r="AA274" i="22"/>
  <c r="AA275" i="22" s="1"/>
  <c r="I162" i="22"/>
  <c r="AA56" i="22"/>
  <c r="P50" i="22"/>
  <c r="P298" i="22" s="1"/>
  <c r="AA51" i="22"/>
  <c r="AA21" i="22"/>
  <c r="Y50" i="22"/>
  <c r="Y277" i="22"/>
  <c r="AA247" i="22"/>
  <c r="H188" i="22"/>
  <c r="U56" i="22"/>
  <c r="U46" i="22"/>
  <c r="AA6" i="22"/>
  <c r="AA250" i="22" l="1"/>
  <c r="G161" i="22"/>
  <c r="G162" i="22" s="1"/>
  <c r="R298" i="22"/>
  <c r="S298" i="22"/>
  <c r="X48" i="22"/>
  <c r="X50" i="22" s="1"/>
  <c r="X161" i="22"/>
  <c r="X162" i="22" s="1"/>
  <c r="U48" i="22"/>
  <c r="U50" i="22" s="1"/>
  <c r="V298" i="22"/>
  <c r="Z48" i="22"/>
  <c r="AD49" i="22" s="1"/>
  <c r="H48" i="22"/>
  <c r="Y298" i="22"/>
  <c r="AE34" i="22"/>
  <c r="AA48" i="22"/>
  <c r="AD18" i="22"/>
  <c r="AA46" i="22"/>
  <c r="Z161" i="22"/>
  <c r="Z162" i="22" s="1"/>
  <c r="I298" i="22"/>
  <c r="U162" i="22"/>
  <c r="W298" i="22"/>
  <c r="Z50" i="22"/>
  <c r="AA161" i="22"/>
  <c r="AA162" i="22" s="1"/>
  <c r="J298" i="22"/>
  <c r="AD14" i="22"/>
  <c r="H50" i="22"/>
  <c r="AA277" i="22"/>
  <c r="AD50" i="22" l="1"/>
  <c r="X298" i="22"/>
  <c r="Z298" i="22"/>
  <c r="U298" i="22"/>
  <c r="AC23" i="22"/>
  <c r="AD46" i="22"/>
  <c r="AA50" i="22"/>
  <c r="AA298" i="22" s="1"/>
  <c r="H298" i="22" l="1"/>
  <c r="H298" i="24"/>
  <c r="AE30" i="22" l="1"/>
  <c r="AE28" i="22" s="1"/>
  <c r="AF30" i="24"/>
  <c r="AF28" i="24" s="1"/>
  <c r="AC42" i="24" l="1"/>
  <c r="AC42" i="22"/>
  <c r="AC41" i="24" l="1"/>
  <c r="AC41" i="22"/>
  <c r="AE38" i="24" l="1"/>
  <c r="AD38" i="22"/>
  <c r="AF35" i="24" l="1"/>
  <c r="AE35" i="22"/>
  <c r="AE36" i="24" l="1"/>
  <c r="AD36" i="22"/>
  <c r="AE37" i="24"/>
  <c r="AD37" i="22"/>
  <c r="AE35" i="24" l="1"/>
  <c r="AD35" i="22"/>
  <c r="AC36" i="24"/>
  <c r="AC36" i="22"/>
  <c r="AC37" i="24" l="1"/>
  <c r="AC37" i="22"/>
  <c r="AE32" i="24"/>
  <c r="AD32" i="22"/>
  <c r="AC35" i="24"/>
  <c r="AC35" i="22"/>
  <c r="AC32" i="24" l="1"/>
  <c r="AC32" i="22"/>
  <c r="AE31" i="24" l="1"/>
  <c r="AD31" i="22"/>
  <c r="AC31" i="24" l="1"/>
  <c r="AC31" i="22"/>
  <c r="AC40" i="24" l="1"/>
  <c r="AC40" i="22" l="1"/>
  <c r="AC33" i="22" l="1"/>
  <c r="AC33" i="24"/>
  <c r="AE33" i="24"/>
  <c r="AD33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Марта УКГ</author>
    <author>Inna</author>
    <author>Миколаїшин Іванна Михайлівна</author>
    <author>Арсен</author>
  </authors>
  <commentList>
    <comment ref="P12" authorId="0" shapeId="0" xr:uid="{1653A293-BB56-4B9B-9B22-A1BD838A2CAC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28.03.-7265,30 ПКД
18.05.-308289,34
31.05.-407684,83
03.06.-407684,83
23.06.-247532,22
06.07.-511461,03
10.07.-15909,52
21.07.-625303,07 акт
03.08.-9557,03 техн.
27.12.-581886,26
27.12.-8557,89технагляд</t>
        </r>
      </text>
    </comment>
    <comment ref="Q12" authorId="0" shapeId="0" xr:uid="{A3E753FB-D5F7-48F4-A10C-4CF1E24201A9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24.03.-7265,30 проект
16.05.-308289,34
29.05.-407684,83
01.06.-407684,83
21.06.-247522,32
04.07.-511461,03
06.07.-15909,52 техн.
19.07.-625303,07 акт
01.08.-9557,03 техн.
27.12.-581886,26
27.12.-8557,89технагляд</t>
        </r>
      </text>
    </comment>
    <comment ref="P13" authorId="0" shapeId="0" xr:uid="{FD134FF3-3A86-4102-8119-B9E8BD575804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08.04.-6408,00 експертиза
08.04-32473,00 проект
06.07.-1644577,84
10.07.-25085,85
26.07.-4007921,10
03.08.-61279,57 техн.
22.09.-652551,71
27.09.-9683,65 техн.
11.10.-476500,42 акт</t>
        </r>
      </text>
    </comment>
    <comment ref="Q13" authorId="1" shapeId="0" xr:uid="{AEC505D5-37E0-47C3-BB67-D5411495039B}">
      <text>
        <r>
          <rPr>
            <b/>
            <sz val="9"/>
            <color indexed="81"/>
            <rFont val="Tahoma"/>
            <family val="2"/>
            <charset val="204"/>
          </rPr>
          <t>Inna:</t>
        </r>
        <r>
          <rPr>
            <sz val="9"/>
            <color indexed="81"/>
            <rFont val="Tahoma"/>
            <family val="2"/>
            <charset val="204"/>
          </rPr>
          <t xml:space="preserve">
05.04.-6408,00 експертиза
05.04-32473,00 проект
04.07.-1644577,84
06.07.-25085,85 техн.
24.07.-4007921,10
01.08.-61279,57 техн.
20.09.-652551,71
20.09.-9683,65 техн.
09.10.-476500,42 акт</t>
        </r>
      </text>
    </comment>
    <comment ref="P14" authorId="0" shapeId="0" xr:uid="{3D26CA28-B5AA-40B9-9981-3FE64C774CFB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08.06.-15970,41 ПКД
31.08.-749691,60 акт.
21.09.-1256858,40
21.09.-26000,73 техн.
26.10.1371136,80
12.12.-1606132,80
27.12.-38588,06технагляд
27.12.-217998,00
27.12.-2844,41технагляд</t>
        </r>
      </text>
    </comment>
    <comment ref="Q14" authorId="0" shapeId="0" xr:uid="{108CCAA8-5C82-436E-98C9-9A8DD902B33E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06.06.-15970,41 ПКД
29.08.-749691,60 акт.
19.09.-1256858,40
19.09.-26000,73 техн.
25.10.-1371136,80
07.12.-1606132,80
14.12.-38588,06технагляд
22.12.-217998,00
22.12.-2844,41технагляд</t>
        </r>
      </text>
    </comment>
    <comment ref="P15" authorId="0" shapeId="0" xr:uid="{2DAB6C24-8C7B-4758-AEDB-28C7E6DDBD86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11.03.-17088,00
10.07.-1160923,00
10.07.-17166,64 техн</t>
        </r>
      </text>
    </comment>
    <comment ref="Q15" authorId="0" shapeId="0" xr:uid="{663E27F8-EDB5-4830-9900-B27D71CDCEB1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09.03.- 17088,00 ПКД 
06.07.-1160923,00
06.07.-17166,64 техн.
</t>
        </r>
      </text>
    </comment>
    <comment ref="P16" authorId="0" shapeId="0" xr:uid="{08005CC0-095F-495A-A9A6-EAF7FEE0CDB5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06.06.-5446,80
21.07.-366760,80
21.07.-5433,98 техн.
11.08.-227,18 техн.
12.08.-15423,60 акт</t>
        </r>
      </text>
    </comment>
    <comment ref="Q16" authorId="0" shapeId="0" xr:uid="{5EF85F0D-8F98-473C-81F2-75198F6C80C6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18.05.-5446,80 ПКД
19.07.-366760,80акт
19.07.-5433,98техн.
09.08.-227,18 техн.
10.08.-15423,60 акт</t>
        </r>
      </text>
    </comment>
    <comment ref="P17" authorId="0" shapeId="0" xr:uid="{14E9FD67-8907-49FC-B2C9-096C9D3F631A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03.05.-6408,00
10.05.-32040,00
21.10.-1301469,60
26.10.16678,00
03.11.391858,8
03.11.5018,65
12.12.1783912,80
27.12.-525650,40
27.12.-6852,00технагляд</t>
        </r>
      </text>
    </comment>
    <comment ref="Q17" authorId="0" shapeId="0" xr:uid="{C773CA1C-22ED-4021-B7BB-EF77BA944A88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01.05.-6408,00 експертиза
04.05.-32040,00 проект
19.10. - 1301469,6 
24.10.16678,00
01.11.391858,8
01.11.5018,65 техн
08.12.-16350,82технаг.
22.12.-525650,40
22.12.-6852,00технагляд</t>
        </r>
      </text>
    </comment>
    <comment ref="P18" authorId="0" shapeId="0" xr:uid="{467C7057-E127-4C76-B57F-6855F950E66E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29.06-8900,00
12.12.1783912,80
27.12.-24309,22технагляд</t>
        </r>
      </text>
    </comment>
    <comment ref="Q18" authorId="0" shapeId="0" xr:uid="{F22B282B-3454-4D50-8C65-C37E9A88EAB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21.06.-8900,00 ПКД
08.12.1783912,80
14.12.-24309,22технагляд</t>
        </r>
      </text>
    </comment>
    <comment ref="P19" authorId="0" shapeId="0" xr:uid="{BF88E6DC-95C6-4C40-9530-F6DA3D3F61A5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29.08.-318767,00
31.08.-4595,00 т.н.
06.12.-1151332,00</t>
        </r>
      </text>
    </comment>
    <comment ref="Q19" authorId="0" shapeId="0" xr:uid="{4E8AD706-19CF-494D-A7BA-97B1235E6E1A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25.08.-318767,00
29.08.-4595,00 т.н.
01.12.-1151332,00
11.12.-16350,82
</t>
        </r>
      </text>
    </comment>
    <comment ref="P20" authorId="0" shapeId="0" xr:uid="{16060250-1079-4E4F-85EB-DDDB62159DAF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16.06.-10731,00
04.10.-1761304,80
04.10.-21826,35 техн.
18.11.558796,80
23.11.6889,05технагляд</t>
        </r>
      </text>
    </comment>
    <comment ref="Q20" authorId="0" shapeId="0" xr:uid="{AC637795-F3A2-43E4-B7B8-F4EC4EAE9A6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14.06.-10731,00 ПКД
02.10.-1761304,80
02.10.-21826,35 техн.
17.11.558796,80
21.11.6889,05технагляд
</t>
        </r>
      </text>
    </comment>
    <comment ref="P21" authorId="0" shapeId="0" xr:uid="{49B875B5-3667-4533-87B3-0BED4D7EEC43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06.07.-10731,00
27.12.-655581,60
27.12.-8165,89технаагляд</t>
        </r>
      </text>
    </comment>
    <comment ref="Q21" authorId="0" shapeId="0" xr:uid="{79129D79-DD93-498D-A49B-7F4D8A80293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04.07.-10731,00 ПКД
26.12.-655581,60
26.12.-8165,89технаагляд</t>
        </r>
      </text>
    </comment>
    <comment ref="P22" authorId="0" shapeId="0" xr:uid="{B5771049-854B-4323-99CC-8298E09AA703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11.07.-10731,00ПКД
27.12.-884890,80
27.12.11007,39технагляд</t>
        </r>
      </text>
    </comment>
    <comment ref="Q22" authorId="0" shapeId="0" xr:uid="{B4FD5022-7B35-4CAA-9DDE-6649734CE382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06.07.-10731,00 ПКД
26.12.-884890,80
26.12.11007,39технагляд</t>
        </r>
      </text>
    </comment>
    <comment ref="P23" authorId="0" shapeId="0" xr:uid="{63D815C0-5AEF-429E-9C69-15D021703E42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10.07.-41566,00 ПКД
20.11.3521133,60
23.11.43608,00технаг.</t>
        </r>
      </text>
    </comment>
    <comment ref="Q23" authorId="0" shapeId="0" xr:uid="{4E4DFD74-EE67-45E8-A2D8-6F74B92092B8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06.07.-41566,00 ПКД
17.11.3521133,60
21.11.43608,00технаг.</t>
        </r>
      </text>
    </comment>
    <comment ref="P24" authorId="0" shapeId="0" xr:uid="{F73D6E5E-0FF5-4496-9D23-4EA12489FCC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28.07.-51671,00
12.08.-6828,00 експерт.</t>
        </r>
      </text>
    </comment>
    <comment ref="Q24" authorId="1" shapeId="0" xr:uid="{5D473D20-1B5A-4A7D-AAAB-943412A1B072}">
      <text>
        <r>
          <rPr>
            <b/>
            <sz val="9"/>
            <color indexed="81"/>
            <rFont val="Tahoma"/>
            <family val="2"/>
            <charset val="204"/>
          </rPr>
          <t>Inna:</t>
        </r>
        <r>
          <rPr>
            <sz val="9"/>
            <color indexed="81"/>
            <rFont val="Tahoma"/>
            <family val="2"/>
            <charset val="204"/>
          </rPr>
          <t xml:space="preserve">
26.07.-51671,00 ПКД
10.08.-6828,00 експерт.
</t>
        </r>
      </text>
    </comment>
    <comment ref="P25" authorId="0" shapeId="0" xr:uid="{1DAE808C-13BD-4C6A-BADF-DC7F762D5CEA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12.08.-19224,00</t>
        </r>
      </text>
    </comment>
    <comment ref="Q25" authorId="0" shapeId="0" xr:uid="{3EF287B3-68E2-488B-91EC-8CC63E5AB43C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08.08.-19224,00 пкд</t>
        </r>
      </text>
    </comment>
    <comment ref="P26" authorId="0" shapeId="0" xr:uid="{5F10280E-DE3E-473F-A742-F72F3B1F2A9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12.07.-19224,00</t>
        </r>
      </text>
    </comment>
    <comment ref="Q26" authorId="0" shapeId="0" xr:uid="{EE9AB433-012C-4EDF-A1BB-E8BEA52DE36C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10.07.-19224,00 ПКД</t>
        </r>
      </text>
    </comment>
    <comment ref="P27" authorId="0" shapeId="0" xr:uid="{06090ADC-A9E8-4184-AC92-789504B6D166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06.09.-33415,00
27.12.-1395574,87
27.12.-17082,12технагляд</t>
        </r>
      </text>
    </comment>
    <comment ref="Q27" authorId="0" shapeId="0" xr:uid="{8F08A52D-53A9-4A06-BE79-19B095B5F146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04.09-33415,00 ПКД
27.12.-1395574,87
27.12.-17082,12технагляд
</t>
        </r>
      </text>
    </comment>
    <comment ref="P28" authorId="2" shapeId="0" xr:uid="{70F7995F-936E-4827-B03B-28077E2483B6}">
      <text>
        <r>
          <rPr>
            <b/>
            <sz val="9"/>
            <color indexed="81"/>
            <rFont val="Tahoma"/>
            <family val="2"/>
            <charset val="204"/>
          </rPr>
          <t>Миколаїшин Іванна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03.11.19087,00ПКД</t>
        </r>
      </text>
    </comment>
    <comment ref="Q28" authorId="2" shapeId="0" xr:uid="{D1AFB897-1109-43E3-A9EF-1275C15D3063}">
      <text>
        <r>
          <rPr>
            <b/>
            <sz val="9"/>
            <color indexed="81"/>
            <rFont val="Tahoma"/>
            <family val="2"/>
            <charset val="204"/>
          </rPr>
          <t>Миколаїшин Іванна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01.11 19087,00(ПКД)</t>
        </r>
      </text>
    </comment>
    <comment ref="P29" authorId="2" shapeId="0" xr:uid="{BF19FDDB-CC4B-4ABF-966E-3FAC111D7335}">
      <text>
        <r>
          <rPr>
            <b/>
            <sz val="9"/>
            <color indexed="81"/>
            <rFont val="Tahoma"/>
            <family val="2"/>
            <charset val="204"/>
          </rPr>
          <t>Миколаїшин Іванна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04.11.49128,00ПКД
04.11.6408,00експерт.</t>
        </r>
      </text>
    </comment>
    <comment ref="Q29" authorId="2" shapeId="0" xr:uid="{117361BC-0D63-4A43-A8AB-8C6808DAE736}">
      <text>
        <r>
          <rPr>
            <b/>
            <sz val="9"/>
            <color indexed="81"/>
            <rFont val="Tahoma"/>
            <family val="2"/>
            <charset val="204"/>
          </rPr>
          <t>Миколаїшин Іванна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02.11.49128,00ПКД
02.11.6408,00експерт.</t>
        </r>
      </text>
    </comment>
    <comment ref="P30" authorId="0" shapeId="0" xr:uid="{F2DC969D-7A82-4A27-A852-E530E6725C2B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20.09.-10731,00 ПКД</t>
        </r>
      </text>
    </comment>
    <comment ref="Q30" authorId="0" shapeId="0" xr:uid="{BD0D4022-52FC-4C8F-BA49-ED58B4AE570A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18.09.-10731,00 ПКД</t>
        </r>
      </text>
    </comment>
    <comment ref="P31" authorId="2" shapeId="0" xr:uid="{593C836D-32E0-4E87-8764-B9591DCDF4D0}">
      <text>
        <r>
          <rPr>
            <b/>
            <sz val="9"/>
            <color indexed="81"/>
            <rFont val="Tahoma"/>
            <family val="2"/>
            <charset val="204"/>
          </rPr>
          <t xml:space="preserve">Наталя:
17.10. 28398,00
</t>
        </r>
        <r>
          <rPr>
            <sz val="9"/>
            <color indexed="81"/>
            <rFont val="Tahoma"/>
            <family val="2"/>
            <charset val="204"/>
          </rPr>
          <t xml:space="preserve">
05.12.-440779,00
27.12-
6458,00технагляд
27.12.-1135867,00
27.12.-16736,00технагляд</t>
        </r>
      </text>
    </comment>
    <comment ref="Q31" authorId="1" shapeId="0" xr:uid="{DCDD977A-79BC-463B-AD46-2F6DEB32DFEF}">
      <text>
        <r>
          <rPr>
            <b/>
            <sz val="9"/>
            <color indexed="81"/>
            <rFont val="Tahoma"/>
            <family val="2"/>
            <charset val="204"/>
          </rPr>
          <t>Inna:</t>
        </r>
        <r>
          <rPr>
            <sz val="9"/>
            <color indexed="81"/>
            <rFont val="Tahoma"/>
            <family val="2"/>
            <charset val="204"/>
          </rPr>
          <t xml:space="preserve">
13.10.-28398,00 ПКД
28.11.440779,00
14.12.-6458,00технагляд
20.12.-1135867,00
22.12.-16736,00технагляд</t>
        </r>
      </text>
    </comment>
    <comment ref="P32" authorId="2" shapeId="0" xr:uid="{502CCD5D-5A15-4F15-8922-60E3065E0F8F}">
      <text>
        <r>
          <rPr>
            <b/>
            <sz val="9"/>
            <color indexed="81"/>
            <rFont val="Tahoma"/>
            <family val="2"/>
            <charset val="204"/>
          </rPr>
          <t>Наталя:</t>
        </r>
        <r>
          <rPr>
            <sz val="9"/>
            <color indexed="81"/>
            <rFont val="Tahoma"/>
            <family val="2"/>
            <charset val="204"/>
          </rPr>
          <t xml:space="preserve">
17.10.37178,00
</t>
        </r>
      </text>
    </comment>
    <comment ref="Q32" authorId="1" shapeId="0" xr:uid="{1E980980-ED2E-4B2E-9D98-46B85282F7BB}">
      <text>
        <r>
          <rPr>
            <b/>
            <sz val="9"/>
            <color indexed="81"/>
            <rFont val="Tahoma"/>
            <family val="2"/>
            <charset val="204"/>
          </rPr>
          <t>Inna:</t>
        </r>
        <r>
          <rPr>
            <sz val="9"/>
            <color indexed="81"/>
            <rFont val="Tahoma"/>
            <family val="2"/>
            <charset val="204"/>
          </rPr>
          <t xml:space="preserve">
13.10.-37178,00 ПКД</t>
        </r>
      </text>
    </comment>
    <comment ref="P33" authorId="2" shapeId="0" xr:uid="{FCF5C1D8-A659-4A83-9DC5-1A858C31C605}">
      <text>
        <r>
          <rPr>
            <b/>
            <sz val="9"/>
            <color indexed="81"/>
            <rFont val="Tahoma"/>
            <family val="2"/>
            <charset val="204"/>
          </rPr>
          <t>Наталя:</t>
        </r>
        <r>
          <rPr>
            <sz val="9"/>
            <color indexed="81"/>
            <rFont val="Tahoma"/>
            <family val="2"/>
            <charset val="204"/>
          </rPr>
          <t xml:space="preserve">
17.10.38434</t>
        </r>
      </text>
    </comment>
    <comment ref="Q33" authorId="1" shapeId="0" xr:uid="{05462839-78B1-4455-8A0A-940F8F9A9120}">
      <text>
        <r>
          <rPr>
            <b/>
            <sz val="9"/>
            <color indexed="81"/>
            <rFont val="Tahoma"/>
            <family val="2"/>
            <charset val="204"/>
          </rPr>
          <t>Inna:</t>
        </r>
        <r>
          <rPr>
            <sz val="9"/>
            <color indexed="81"/>
            <rFont val="Tahoma"/>
            <family val="2"/>
            <charset val="204"/>
          </rPr>
          <t xml:space="preserve">
13.10.-38434,00 ПКД</t>
        </r>
      </text>
    </comment>
    <comment ref="P35" authorId="0" shapeId="0" xr:uid="{D95BB783-8C16-4BDB-AD9D-72B9B5FFBBDE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25.04.-15410,00
16.06.-38247,65 техн.
16.06.-2581718,27 акт
05.07.-231395,71 акт
05.07.-3420,62 техн.</t>
        </r>
      </text>
    </comment>
    <comment ref="Q35" authorId="0" shapeId="0" xr:uid="{D4781E3E-1F33-4997-A1FF-4BB023163E22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20.04.-15410,00 ПКД
14.06.-2581718,27
14.06.-38247,65 техн.
03.07.-231395,71
03.07.-3420,62 техн.</t>
        </r>
      </text>
    </comment>
    <comment ref="P36" authorId="0" shapeId="0" xr:uid="{5FAAAC7E-EC94-4FE9-B9CE-A3F2FDF07D55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04.03.-19224,00 ПКД
18.05.-1761854,00
03.06.-444915,00
03.06.-36946,00 техн.
05.07.-147458,95 акт
27.07.-21988,88</t>
        </r>
      </text>
    </comment>
    <comment ref="Q36" authorId="3" shapeId="0" xr:uid="{790792E7-26FA-45CF-8241-26A51962F9F0}">
      <text>
        <r>
          <rPr>
            <b/>
            <sz val="9"/>
            <color indexed="81"/>
            <rFont val="Tahoma"/>
            <family val="2"/>
            <charset val="204"/>
          </rPr>
          <t>Арсен:</t>
        </r>
        <r>
          <rPr>
            <sz val="9"/>
            <color indexed="81"/>
            <rFont val="Tahoma"/>
            <family val="2"/>
            <charset val="204"/>
          </rPr>
          <t xml:space="preserve">
01.03.-19224,00 ПКД
16.05.-1761854,00
01.06.-444915,00
01.06.-36946,00 техн.
03.07.-147458,95
25.07.-21988,88 техн.</t>
        </r>
      </text>
    </comment>
    <comment ref="P37" authorId="0" shapeId="0" xr:uid="{E388C2C8-2309-4D47-B332-B204CE99B238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02.05.-25160,00
26.07.-1472289,77
10.08.-22469,11 техн.
13.09.-7314,21 техн.
22.09.-497256,38</t>
        </r>
      </text>
    </comment>
    <comment ref="Q37" authorId="0" shapeId="0" xr:uid="{896B3762-28B9-4E4C-8389-5195B9DD2538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01.05.-25160,00 ПКД
24.07.-1472289,77
08.08.-22469,11 техн.
11.09.-7314,21 техн.
20.09.-497256,38</t>
        </r>
      </text>
    </comment>
    <comment ref="P38" authorId="0" shapeId="0" xr:uid="{99F22FE4-FCD0-4ED1-B9D2-9C3F61FFD3E9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05.05.-19864,80
12.08.-1760662,80 акт
 в .з.
12.08.-22823,00 техн. В.з.
28.09.-729252,00
28.09.-9455,00
27.12.-10262,40
27.12.-134,00технагляд</t>
        </r>
      </text>
    </comment>
    <comment ref="Q38" authorId="0" shapeId="0" xr:uid="{2C5531A4-8CF5-4DE7-ABF3-43F3F2ECF119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03.05.-19864,80 ПКД
10.08.-1760662,80 акт
 в .з.
10.08.-22823,00 техн. В.з.
26.09.-729252,00
26.09.-9455,00
14.12.-10262,40
14.12.-134,00технагляд</t>
        </r>
      </text>
    </comment>
    <comment ref="P39" authorId="0" shapeId="0" xr:uid="{CB8C8823-7FBF-4F6A-9CC1-791700A2CE5E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19.07.-14530,61 ПКД
19.07.-6644,90 експерт
06.10.-1058842,44 акт
27.10.1086162,05
03.11.996342,11
01.11.40837,50(технагляд)
17.11.-1815917,19
05.12.-836608,75
05.12.-33781061технаг.</t>
        </r>
      </text>
    </comment>
    <comment ref="Q39" authorId="0" shapeId="0" xr:uid="{DAB81B0A-E890-4387-A37F-37C237A1CAFF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13.07.-14530,61 ПКД
13.07.-6644,90 експерт.
02.10.-1058842,44
27.10.1086162,05
01.11.996342,11
01.11.40837,50(технаг)
15.11.-1815917,19
01.12.-836608,75
01.12.-33781061технаг.</t>
        </r>
      </text>
    </comment>
    <comment ref="P40" authorId="0" shapeId="0" xr:uid="{C036CBBD-B09D-4ACF-AE77-926F33810EA7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03.06.-7120,00 проект
20.11.810901,08
20.11.11749 технаг.
27.12.-212550,32
27.12.2711,00технагляд</t>
        </r>
      </text>
    </comment>
    <comment ref="Q40" authorId="0" shapeId="0" xr:uid="{593EFB1A-502D-4BED-B9B6-78F1076F7295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01.06.-7120,00 проект
15.11.-810901,08
17.11.11749 технаг.
20.12.-212550,32
20.12.2711,00технагляд</t>
        </r>
      </text>
    </comment>
    <comment ref="P41" authorId="0" shapeId="0" xr:uid="{B2AC7CCE-0802-4467-A985-32AA401A9461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18.03.-49818,32</t>
        </r>
      </text>
    </comment>
    <comment ref="Q41" authorId="0" shapeId="0" xr:uid="{8444C1EE-90C0-4D9D-B839-E2C4E018C972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16.03.-49818,32</t>
        </r>
      </text>
    </comment>
    <comment ref="P42" authorId="0" shapeId="0" xr:uid="{FB461C28-4106-4A88-8076-C76FBADED647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04.03.-3223,00
25.04.-318883,00
27.04.-4613,90 техн.</t>
        </r>
      </text>
    </comment>
    <comment ref="Q42" authorId="3" shapeId="0" xr:uid="{5F664E0C-3433-4467-B530-B0E65939958F}">
      <text>
        <r>
          <rPr>
            <b/>
            <sz val="9"/>
            <color indexed="81"/>
            <rFont val="Tahoma"/>
            <family val="2"/>
            <charset val="204"/>
          </rPr>
          <t>Арсен:</t>
        </r>
        <r>
          <rPr>
            <sz val="9"/>
            <color indexed="81"/>
            <rFont val="Tahoma"/>
            <family val="2"/>
            <charset val="204"/>
          </rPr>
          <t xml:space="preserve">
01.03.-3223,00 ПКД
24.04.-318883,00
05.04.-4613,90 техн.</t>
        </r>
      </text>
    </comment>
    <comment ref="P43" authorId="0" shapeId="0" xr:uid="{B19741C5-B2E5-40BC-9976-2FB8B132B66B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04.03.-3223,00
03.05.-319790,00
19.05.-4895,00</t>
        </r>
      </text>
    </comment>
    <comment ref="Q43" authorId="3" shapeId="0" xr:uid="{6DC94978-8C2C-4E68-9A5A-4B7D156E12FD}">
      <text>
        <r>
          <rPr>
            <b/>
            <sz val="9"/>
            <color indexed="81"/>
            <rFont val="Tahoma"/>
            <family val="2"/>
            <charset val="204"/>
          </rPr>
          <t>Арсен:</t>
        </r>
        <r>
          <rPr>
            <sz val="9"/>
            <color indexed="81"/>
            <rFont val="Tahoma"/>
            <family val="2"/>
            <charset val="204"/>
          </rPr>
          <t xml:space="preserve">
01.03.-3223,00
01.05.-319790,00
17.05.-4895,00</t>
        </r>
      </text>
    </comment>
    <comment ref="P44" authorId="0" shapeId="0" xr:uid="{2603A3D9-F365-4B1B-88DC-7C87CB83ECB1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25.04.-7495,00
03.06.-784235,00
03.06.-11860,00 техн.</t>
        </r>
      </text>
    </comment>
    <comment ref="Q44" authorId="0" shapeId="0" xr:uid="{7C7D7AFA-FC6A-4A4A-B438-0DA289D3F025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24.03.-7495,00 ПКД
01.06.-784235,00
01.06.-11860,00 техн.</t>
        </r>
      </text>
    </comment>
    <comment ref="P45" authorId="0" shapeId="0" xr:uid="{CFC00E1E-5BD7-4813-A559-1874935F3853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13.06.-9368,00
29.07.-987589,00
10.08.-14885,87 техн. В.з.
06.09.-1059608,00 (57571,31 ) в.з.
13.09.-14141,58 техн. В.з.
28.09.-224439,00</t>
        </r>
      </text>
    </comment>
    <comment ref="Q45" authorId="0" shapeId="0" xr:uid="{41BBDB2A-B2F5-45F2-BA6E-4A0139A7E929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09.06.-9368,00 ПКД
27.07.-987589,00
08.08.-14885,87 техн. В.з.
04.09.-1059608,00 акт. ( 57571,31 в.з.)
11.09.-14141,58 техн. В.з.
26.09.-224439,00</t>
        </r>
      </text>
    </comment>
    <comment ref="P46" authorId="0" shapeId="0" xr:uid="{54B80424-66C1-4F80-B79B-3C695FEC6E1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06.05.-24350,40
24.11.921783-роботи 1акт
24.11.-29919-роботи 2акт</t>
        </r>
      </text>
    </comment>
    <comment ref="Q46" authorId="0" shapeId="0" xr:uid="{E50F8185-BE9C-41C1-B22A-7D01F9F0394A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03.05.-24350,40
23.11.921783-роботи 1акт
23.11.-29919-роботи 2акт
07.12-13444,51технагляд
</t>
        </r>
      </text>
    </comment>
    <comment ref="P47" authorId="0" shapeId="0" xr:uid="{F2EA6520-4855-4DE5-BDD1-2177AB56D8E5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06.05.-25632,00
29.07.-737140,82
29.07.-12795,98 техн.
03.08.-11255,10
12.12-13444,51технагляд</t>
        </r>
      </text>
    </comment>
    <comment ref="Q47" authorId="0" shapeId="0" xr:uid="{A3257E35-9748-448D-8501-61286ED6B92F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03.05.-25632,00
27.07.-737140,82
27.07.-12795,98 техн.
01.08.-11255,10</t>
        </r>
      </text>
    </comment>
    <comment ref="P48" authorId="0" shapeId="0" xr:uid="{C88BE8CF-2285-4E60-A183-7752DF5973B7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06.07.-32473,00
10.07.-6408,00
06.10.-1571757,00 акт
06.10.-19411,97 техн.
26.10.2182812,00
26.10.26513,00
21.11.2988479,00
21.11.36261,62технаг.</t>
        </r>
      </text>
    </comment>
    <comment ref="Q48" authorId="0" shapeId="0" xr:uid="{86B574A0-4763-448F-A207-599B5CC40B02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04.07.-32473,00 ПКД
06.07.-6408,00 експертиза
02.10.-1571757,00
02.10.-19411,97 техн.
24.10.-2182812,00
24.10.-26513,00
10.11.-2988479,00
10.11.-36261,62технаг</t>
        </r>
      </text>
    </comment>
    <comment ref="P49" authorId="0" shapeId="0" xr:uid="{554D0D10-4A52-4920-8F0E-9F9CB5BAB39F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28.07.-29904,00 ПКД
24.11.-1502370,00 
24.11.19386-тенагляд
11.12.-11567,26технагляд
27.12.-1367670
27.12.17612 технагляд</t>
        </r>
      </text>
    </comment>
    <comment ref="Q49" authorId="1" shapeId="0" xr:uid="{46C58AE2-79F1-4CDC-8406-6AE8C74A172C}">
      <text>
        <r>
          <rPr>
            <b/>
            <sz val="9"/>
            <color indexed="81"/>
            <rFont val="Tahoma"/>
            <family val="2"/>
            <charset val="204"/>
          </rPr>
          <t>Inna:</t>
        </r>
        <r>
          <rPr>
            <sz val="9"/>
            <color indexed="81"/>
            <rFont val="Tahoma"/>
            <family val="2"/>
            <charset val="204"/>
          </rPr>
          <t xml:space="preserve">
26.07.-29904,00 ПКД
23.11.-1502370,00 
23.11.19386-тенагляд
20.12.-1367670
20.12.17612 технагляд</t>
        </r>
      </text>
    </comment>
    <comment ref="P50" authorId="0" shapeId="0" xr:uid="{0C4626BB-CDBD-487B-99A0-06BFBAA1BFA3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06.09.-30907,00
21.11.555959,91
21.11.7780,86технаг.
05.12.-827028,80
21.12.-654450,09
21.12.-9180,37технагляд</t>
        </r>
      </text>
    </comment>
    <comment ref="Q50" authorId="0" shapeId="0" xr:uid="{9E491002-70B1-42CB-A10A-40A009B8CF3F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04.09.-30907,00 ПКД
10.11.555959,91
10.11.7780,86технаг.
01.12.-827028,80
07.12.-11567,26технагляд
18.12.-654450,09
18.12.-9180,37технагляд</t>
        </r>
      </text>
    </comment>
    <comment ref="P51" authorId="0" shapeId="0" xr:uid="{A4E803AC-8098-4AE7-8904-36252028B5CE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29.06-1816,33
16.07.-2092,00
29.07.-137585,88</t>
        </r>
      </text>
    </comment>
    <comment ref="Q51" authorId="0" shapeId="0" xr:uid="{EEEF39D9-2F0C-4477-B064-42EE2913B851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21.06.-1816,33 ПКД
10.07.-2092,00 техн.
27.07.-137585,88</t>
        </r>
      </text>
    </comment>
    <comment ref="P52" authorId="0" shapeId="0" xr:uid="{4000A809-8BB4-4D2A-9324-424E0E7E24B4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12.07.-15410,00
17.10. 1147909
25.10.16731,31</t>
        </r>
      </text>
    </comment>
    <comment ref="Q52" authorId="0" shapeId="0" xr:uid="{57C50C80-DB58-439B-BB25-6C4785BA094D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10.07.-15410,00 ПКД
13.10.-1147909,00 акт
24.10.-16731,31тех</t>
        </r>
      </text>
    </comment>
    <comment ref="P53" authorId="3" shapeId="0" xr:uid="{9B870A81-AD1B-4411-AF7E-84DE6BA9FDDF}">
      <text>
        <r>
          <rPr>
            <b/>
            <sz val="9"/>
            <color indexed="81"/>
            <rFont val="Tahoma"/>
            <family val="2"/>
            <charset val="204"/>
          </rPr>
          <t>Арсен:</t>
        </r>
        <r>
          <rPr>
            <sz val="9"/>
            <color indexed="81"/>
            <rFont val="Tahoma"/>
            <family val="2"/>
            <charset val="204"/>
          </rPr>
          <t xml:space="preserve">
13.09.-8544,00</t>
        </r>
      </text>
    </comment>
    <comment ref="Q53" authorId="0" shapeId="0" xr:uid="{C7EA36F3-4BDF-4A90-9A23-1D23E0E9F1D5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11.09.2023- 8544,00 ПКД</t>
        </r>
      </text>
    </comment>
    <comment ref="P54" authorId="0" shapeId="0" xr:uid="{786FC52E-6D13-487F-84E4-EA644247D721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12.08.-3632,65 ПКД
22.08.-190213,00
25.08.-2832,00 техн.</t>
        </r>
      </text>
    </comment>
    <comment ref="Q54" authorId="0" shapeId="0" xr:uid="{44FEB6B7-C1EE-4992-AFA1-F74A8E34A692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10.08.-3632,65 ПКД
18.08.-190213,00 акт
 22.08.-2832,00 техн.</t>
        </r>
      </text>
    </comment>
    <comment ref="P55" authorId="0" shapeId="0" xr:uid="{7DE51CCC-22AB-4CB3-9273-26F8DBCE143F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12.07.-12816,00</t>
        </r>
      </text>
    </comment>
    <comment ref="Q55" authorId="0" shapeId="0" xr:uid="{E05C1917-E3FF-4E33-AA0B-4CF1CED846CA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10.07.-12816,00 ПКД</t>
        </r>
      </text>
    </comment>
    <comment ref="P56" authorId="2" shapeId="0" xr:uid="{5D23F2EC-5A04-4471-8FCE-A35FC406D617}">
      <text>
        <r>
          <rPr>
            <b/>
            <sz val="9"/>
            <color indexed="81"/>
            <rFont val="Tahoma"/>
            <family val="2"/>
            <charset val="204"/>
          </rPr>
          <t>Наталя:</t>
        </r>
        <r>
          <rPr>
            <sz val="9"/>
            <color indexed="81"/>
            <rFont val="Tahoma"/>
            <family val="2"/>
            <charset val="204"/>
          </rPr>
          <t xml:space="preserve">
17.11.4570,00ПКД
23.11.194285
27.12.-145,00технагляд</t>
        </r>
      </text>
    </comment>
    <comment ref="Q56" authorId="2" shapeId="0" xr:uid="{AB79FBC8-E7CC-4FB8-AAA3-021A89F95F5C}">
      <text>
        <r>
          <rPr>
            <b/>
            <sz val="9"/>
            <color indexed="81"/>
            <rFont val="Tahoma"/>
            <family val="2"/>
            <charset val="204"/>
          </rPr>
          <t>Наталя:
09.11.-4570,00ПКД</t>
        </r>
        <r>
          <rPr>
            <sz val="9"/>
            <color indexed="81"/>
            <rFont val="Tahoma"/>
            <family val="2"/>
            <charset val="204"/>
          </rPr>
          <t xml:space="preserve">
21.11.194285
14.12.-145,00технагляд</t>
        </r>
      </text>
    </comment>
    <comment ref="P57" authorId="2" shapeId="0" xr:uid="{E777CEF7-5257-435F-8316-09161660C654}">
      <text>
        <r>
          <rPr>
            <b/>
            <sz val="9"/>
            <color indexed="81"/>
            <rFont val="Tahoma"/>
            <family val="2"/>
            <charset val="204"/>
          </rPr>
          <t>Наталя:
28.12.-98584,20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57" authorId="2" shapeId="0" xr:uid="{07226432-12C0-4656-9EDC-E78E0885A481}">
      <text>
        <r>
          <rPr>
            <sz val="9"/>
            <color indexed="81"/>
            <rFont val="Tahoma"/>
            <family val="2"/>
            <charset val="204"/>
          </rPr>
          <t xml:space="preserve">
Наталя:
28.12.-98584,20
</t>
        </r>
      </text>
    </comment>
    <comment ref="P58" authorId="2" shapeId="0" xr:uid="{D873AB3E-4D95-4CEC-BFC5-A061562CA8F2}">
      <text>
        <r>
          <rPr>
            <b/>
            <sz val="9"/>
            <color indexed="81"/>
            <rFont val="Tahoma"/>
            <family val="2"/>
            <charset val="204"/>
          </rPr>
          <t>Миколаїшин Іванна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07.11.185868
14.11.3747,00ПКД
</t>
        </r>
      </text>
    </comment>
    <comment ref="Q58" authorId="2" shapeId="0" xr:uid="{C50B1BA7-C424-4185-970F-7C2D44FADD30}">
      <text>
        <r>
          <rPr>
            <b/>
            <sz val="9"/>
            <color indexed="81"/>
            <rFont val="Tahoma"/>
            <family val="2"/>
            <charset val="204"/>
          </rPr>
          <t>Наталя:</t>
        </r>
        <r>
          <rPr>
            <sz val="9"/>
            <color indexed="81"/>
            <rFont val="Tahoma"/>
            <family val="2"/>
            <charset val="204"/>
          </rPr>
          <t xml:space="preserve">
07.11.185868
10.11.3747,00ПКД
17.11.2768,43технаг.</t>
        </r>
      </text>
    </comment>
    <comment ref="P59" authorId="2" shapeId="0" xr:uid="{EF7B668B-0B6C-4526-975B-7C24C3A30E8E}">
      <text>
        <r>
          <rPr>
            <b/>
            <sz val="9"/>
            <color indexed="81"/>
            <rFont val="Tahoma"/>
            <family val="2"/>
            <charset val="204"/>
          </rPr>
          <t xml:space="preserve">Наталя:
17.10. 18365,00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59" authorId="1" shapeId="0" xr:uid="{7A3AF29A-56D2-4F53-8677-918CD926315A}">
      <text>
        <r>
          <rPr>
            <b/>
            <sz val="9"/>
            <color indexed="81"/>
            <rFont val="Tahoma"/>
            <family val="2"/>
            <charset val="204"/>
          </rPr>
          <t>Inna:</t>
        </r>
        <r>
          <rPr>
            <sz val="9"/>
            <color indexed="81"/>
            <rFont val="Tahoma"/>
            <family val="2"/>
            <charset val="204"/>
          </rPr>
          <t xml:space="preserve">
13.10.-18365,00 ПКД</t>
        </r>
      </text>
    </comment>
    <comment ref="P60" authorId="0" shapeId="0" xr:uid="{DA7D799F-AB08-4D33-AC92-ACA1F9EFD17F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31.08.-679040,40
17.11.-2015242,80
17.11.24984,28технагляд
21.12.-679425,60
21.12.-8454,94технагляд</t>
        </r>
      </text>
    </comment>
    <comment ref="Q60" authorId="0" shapeId="0" xr:uid="{684E22C2-7B44-4782-B67D-3DC051EE6B8B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29.08.-679040,40
10.11.-2015242,80
10.11.-24984,28 технагляд
18.12.-679425,60
18.12.-8454,94технагляд</t>
        </r>
      </text>
    </comment>
    <comment ref="P61" authorId="0" shapeId="0" xr:uid="{11AD79AA-7154-4000-8346-71C6B5033F3B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11.03.-10680,00
24.07.-754830,03 
17.08.-855581,14 акт
17.08.-10467,14 техн.
17.08.-12504,62 техн.
31.08.-799405,53
07.11.-11541,52технг.
23.11.1006163,47
12.12.-14442,50технагляд
27.12.-310427,02
27.12.-4435,14технагляд
27.12.-849389,56
27.12.-10580,18технагляд</t>
        </r>
      </text>
    </comment>
    <comment ref="Q61" authorId="0" shapeId="0" xr:uid="{B268DFA5-C7D0-4D43-9B3D-A59DC1A42F68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09.03.-10680,00 ПКД
21.07.-754830,03 
15.08.-855581,14 акт
15.08.-10467,14 техн.
15.08.-12504,62 техн.
30.08.-799405,53
03.11.11541,52тех
21.11.1006163,47
07.12.-14442,50технагляд
15.12.-310427,02
19.12.-4435,14
27.12.-849389,56
27.12.-10580,18технагляд</t>
        </r>
      </text>
    </comment>
    <comment ref="P63" authorId="3" shapeId="0" xr:uid="{D8512B82-5C81-429B-8F92-EFC91D9A0EBF}">
      <text>
        <r>
          <rPr>
            <b/>
            <sz val="9"/>
            <color indexed="81"/>
            <rFont val="Tahoma"/>
            <family val="2"/>
            <charset val="204"/>
          </rPr>
          <t>Арсен:</t>
        </r>
        <r>
          <rPr>
            <sz val="9"/>
            <color indexed="81"/>
            <rFont val="Tahoma"/>
            <family val="2"/>
            <charset val="204"/>
          </rPr>
          <t xml:space="preserve">
06.02.-475800
13.02.-110235,00
22.02.-592765,20
24.02.-321756,04
01.03.-140354,14
07.03.-136398,00
15.03.-817008,90
16.03.-227432,00
27.03.-242730,00
28.03.-288814,80
29.03.-508410,35
30.03.-22000,00
30.03.-447045,00
30.03.-165186,00
11.04-892371,82
20.04.-50310,00
24.04.-488319,28
25.04.-557952,00
26.04.-738848,83
01.05.-273075,00
03.05.-4750,00
09.05.-223603,81
11.05.-614031,30
11.05.-233760,00
17.05.-447284,00
18.05.-1968833,00
24.05.-1177604,29
26.05.-2005600,77
29.05.-773156,75
30.05.-1629621,00
08.06.-7360735,56
12.06.-4185535,48
14.06.-348780,43
21.06.-1395844,20
26.06.-8206669,20
28.06.-112565,55
29.06.-988752,77
10.07.-9512293,20
13.07.-348980,67
20.07.-2269451,10
25.07.-1788394,95
27.07.-332992,24
03.08.-5687941,01
11.08.-279925,00
15.08.-310497,97
21.08.-1858240,00
30.08.-1432625,67
07.09.-8874613,00
14.09.-378595,28
19.09.-5868880,00
27.09.-1676884,46
11.10.-4 917 745,07
27.10.2114967,2
30.10.244286,92
30.10.10347927,60</t>
        </r>
      </text>
    </comment>
    <comment ref="Q63" authorId="3" shapeId="0" xr:uid="{8F95CD6D-9248-45E3-9F3E-FED7C71D2969}">
      <text>
        <r>
          <rPr>
            <b/>
            <sz val="9"/>
            <color indexed="81"/>
            <rFont val="Tahoma"/>
            <family val="2"/>
            <charset val="204"/>
          </rPr>
          <t>Арсен:</t>
        </r>
        <r>
          <rPr>
            <sz val="9"/>
            <color indexed="81"/>
            <rFont val="Tahoma"/>
            <family val="2"/>
            <charset val="204"/>
          </rPr>
          <t xml:space="preserve">
02.02.-475800
08.02.-110235,00
17.02.-592765,20
22.02.-321756,04
23.02.-140354,14
02.03.-136398,00
10.03.-817008,90
14.03.-227432,00
14.03.-242730,00
23.03.-288814,80
23.03.-530410,35
29.03.-447045,00
29.03.-165186,00
06.04-892371,82
14.04.-50310,00
14.04.-488319,28
21.04.-557952,00
24.04.-738848,83
25.04.-273075,00
27.04.-4750,00
230,00
-230,00(помилкова реєстрація)
04.05.-837635,11
09.05.-233760,00
12.05.-447284,00
16.05.-1968833,00
19.05.-1177604,29
25.05.-2005600,77
26.05.-773156,75
29.05.-1629621,00
06.06.-7360735,56
08.06.-4197356,48
13.06.-348780,43
19.06.-1395844,20
26.06.-8206669,20
23.06.-112565,55
28.06.-988752,77
06.07.-9512293,20
12.07.-348980,67
18.07.-2269451,10
26.07.-332992,24
02.08.-5687941,01
08.08.-279925,00
10.08.-310497,97
17.08.-1858240,00
29.08.-1432625,67
05.09.-8874613,00
12.09.-378595,28
14.09.-5868880,00
25.09.-1676884,46
10.10.-4 917 745,07
26.10.2175027,20
27.10.244286,92
30.10.10347927,60
07.11.6154828,95
15.11.134200,00
17.11.5225753,60
27.11.-373076,00</t>
        </r>
      </text>
    </comment>
    <comment ref="P65" authorId="0" shapeId="0" xr:uid="{2655D28D-6CDA-4CB3-9BD4-2D7BD8AB61A2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31.03.-27593,00 ПКД
31.05.- 9210,00 експертиза
07.06.-4365673,20
22.06.-34130,00
29.06.-62202,00 техн.
29.06.-4971200,40
26.09.-613779,60</t>
        </r>
      </text>
    </comment>
    <comment ref="Q65" authorId="0" shapeId="0" xr:uid="{08A08275-1A65-4BDC-9CAA-5A61070139ED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27593,00 проект
16.05.- 9210,00 експертиза
30.05.-4365673,20 акт
01.06.-34130,00 техн.
27.06.-62202,00 техн.
29.06.-4971200,40 акт
17.08.-613779,60 акт</t>
        </r>
      </text>
    </comment>
    <comment ref="P66" authorId="2" shapeId="0" xr:uid="{E6FF79B0-AFDC-4A7F-910B-80B4C47867DE}">
      <text>
        <r>
          <rPr>
            <b/>
            <sz val="9"/>
            <color indexed="81"/>
            <rFont val="Tahoma"/>
            <family val="2"/>
            <charset val="204"/>
          </rPr>
          <t>Миколаїшин Іванна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10.11.26611,75
10.11.2501268,67</t>
        </r>
      </text>
    </comment>
    <comment ref="Q66" authorId="2" shapeId="0" xr:uid="{3F853A58-B3DA-4629-8159-F1C818D87665}">
      <text>
        <r>
          <rPr>
            <b/>
            <sz val="9"/>
            <color indexed="81"/>
            <rFont val="Tahoma"/>
            <family val="2"/>
            <charset val="204"/>
          </rPr>
          <t>Миколаїшин Іванна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03.11.2501268,67
08.11.-26611,75
</t>
        </r>
      </text>
    </comment>
    <comment ref="P68" authorId="0" shapeId="0" xr:uid="{8EB3B4C4-16EA-4A59-96CF-BCA7DA3275A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24.05.-35600,00 проект
04.08.-13666,00 техн.
22.08.-1124146,80 акт
01.09.-6642228,00
07.09. -50734,00
05.09.-81296,00 техн.
26.12.-30562техн</t>
        </r>
      </text>
    </comment>
    <comment ref="Q68" authorId="0" shapeId="0" xr:uid="{6407C41C-7128-4D45-B66C-B9211CB7D6F4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19.05.-35600,00 проект
02.08.-1124146,80 акт
02.08.-13666,00 техн.
01.09.-6642228,00 акт
05.09.-81296,00 техн.
15.10.-30562техн</t>
        </r>
      </text>
    </comment>
    <comment ref="P69" authorId="0" shapeId="0" xr:uid="{E8E70D5B-2CF5-4226-9C45-1EBD30001CFB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23.06.-27593,00 ПКД
23.06.-7592,00 експерт</t>
        </r>
      </text>
    </comment>
    <comment ref="Q69" authorId="0" shapeId="0" xr:uid="{CA588EEE-AFF2-4494-84C3-1665C9327A74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21.06.-27593,00 ПКД
21.06.-7592,00 експерт.</t>
        </r>
      </text>
    </comment>
    <comment ref="P70" authorId="0" shapeId="0" xr:uid="{25ABFE50-439B-4F09-BC73-3A9C9A17A157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26.04.-13797,00
19.05.-4272,00 експертиза
10.07.-61320,69 акт частково
10.07.-20610,31 технагл.
17.07.-1554527,31</t>
        </r>
      </text>
    </comment>
    <comment ref="Q70" authorId="1" shapeId="0" xr:uid="{2A062A89-6BBB-4C85-9235-EA89D03492AA}">
      <text>
        <r>
          <rPr>
            <b/>
            <sz val="9"/>
            <color indexed="81"/>
            <rFont val="Tahoma"/>
            <family val="2"/>
            <charset val="204"/>
          </rPr>
          <t>Inna:</t>
        </r>
        <r>
          <rPr>
            <sz val="9"/>
            <color indexed="81"/>
            <rFont val="Tahoma"/>
            <family val="2"/>
            <charset val="204"/>
          </rPr>
          <t xml:space="preserve">
07.04.-13797,00 проект
17.05.-4272,00 експертиза
29.06.-1615848,00 акт
29.06.-20610,31 техн.</t>
        </r>
      </text>
    </comment>
    <comment ref="P71" authorId="0" shapeId="0" xr:uid="{53FBC207-F7B3-4043-9BDA-C9E3EB8D3B25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26.04.-107493,00
03.06.-48000,00 експерт
04.08.-44507,00техн.
05.08.-350000,00 акт част.
16.08.-12671042,80 акт
22.08.-96083,00 техн. Допл.
07.11. 9 413455,20
07.11. 3 248388,00
07.11. 100792,00техн</t>
        </r>
      </text>
    </comment>
    <comment ref="Q71" authorId="1" shapeId="0" xr:uid="{208E5620-AC35-403F-A83D-31652AAB92AE}">
      <text>
        <r>
          <rPr>
            <b/>
            <sz val="9"/>
            <color indexed="81"/>
            <rFont val="Tahoma"/>
            <family val="2"/>
            <charset val="204"/>
          </rPr>
          <t>Inna:</t>
        </r>
        <r>
          <rPr>
            <sz val="9"/>
            <color indexed="81"/>
            <rFont val="Tahoma"/>
            <family val="2"/>
            <charset val="204"/>
          </rPr>
          <t xml:space="preserve">
07.04.-107493,00 проект
01.06.-48000,00 експерт
02.08.-13021042,80 акт
02.08.-140590,00 техн.
08.09.-9413455,20
13.09.-3248388,00
18.09.-100792,86 техн.
03.11.-224202
08.11.-2352,64технаг</t>
        </r>
      </text>
    </comment>
    <comment ref="P72" authorId="0" shapeId="0" xr:uid="{FB3BA38F-0BEC-4605-B21C-FA10F33FE8F5}">
      <text>
        <r>
          <rPr>
            <b/>
            <sz val="9"/>
            <color indexed="81"/>
            <rFont val="Tahoma"/>
            <family val="2"/>
            <charset val="204"/>
          </rPr>
          <t>Марта УКГ:
02.06.-100000,00 ПКД частково оплач
22.06.-84438,00
Марта УКГ:
29.12.72404 експер</t>
        </r>
      </text>
    </comment>
    <comment ref="Q72" authorId="0" shapeId="0" xr:uid="{BE78861A-CDE2-40E1-B844-B92950A74F0F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30.05.-184438,00 ПКД
25.10.72404 експерт</t>
        </r>
      </text>
    </comment>
    <comment ref="P73" authorId="0" shapeId="0" xr:uid="{F8015C3A-A6A4-4DE6-83D6-C1D64C4BC737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22.06.-49730,00
07.08.-5592,00 експерт.
07.11.-2281349,53
07.11.-28263,82технг.
21.11.1077667,69
14.12.-1258915,00ч.акту
15.12.-123035,2ч.акту
15.12.13436,08ПКД
15.12.16852,31ПКД</t>
        </r>
      </text>
    </comment>
    <comment ref="Q73" authorId="0" shapeId="0" xr:uid="{C8DD6F02-5424-4A1A-BADB-51B042885A55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06.06.-49730,00 ПКД
20.07.-5592,00 експерт.
01.11.28263,82
07.11.-2281349,53
21.11.1077667,69
21.11.13436,08
27.11.1381950,20
27.11.16852,31ПКД</t>
        </r>
      </text>
    </comment>
    <comment ref="P74" authorId="0" shapeId="0" xr:uid="{387E3D8C-45FC-479F-9CA0-6FE3069B2746}">
      <text>
        <r>
          <rPr>
            <b/>
            <sz val="9"/>
            <color indexed="81"/>
            <rFont val="Tahoma"/>
            <family val="2"/>
            <charset val="204"/>
          </rPr>
          <t>Марта УКГ:
14.07.-20695,00 ПКД
29.12.25880</t>
        </r>
      </text>
    </comment>
    <comment ref="Q74" authorId="0" shapeId="0" xr:uid="{C3C5E267-BD86-4BD7-B0D5-687B36849B35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14.07.-20695,00 ПКД
25.10.25880</t>
        </r>
      </text>
    </comment>
    <comment ref="P75" authorId="2" shapeId="0" xr:uid="{D35A2C83-C7A3-4ED2-B97C-765A3EA7BC86}">
      <text>
        <r>
          <rPr>
            <sz val="9"/>
            <color indexed="81"/>
            <rFont val="Tahoma"/>
            <family val="2"/>
            <charset val="204"/>
          </rPr>
          <t xml:space="preserve">НАТАЛЯ:
14.12.-60004,00 ПКД
14.12.10458,00експерт
</t>
        </r>
      </text>
    </comment>
    <comment ref="Q75" authorId="0" shapeId="0" xr:uid="{58BCAF35-0163-4F96-8A41-AABD64D2092F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19.09.-60004,00 ПКД
02.11.10458,00експерт.</t>
        </r>
      </text>
    </comment>
    <comment ref="P76" authorId="2" shapeId="0" xr:uid="{AEFC605E-ACD3-419D-B952-22F506423398}">
      <text>
        <r>
          <rPr>
            <b/>
            <sz val="9"/>
            <color indexed="81"/>
            <rFont val="Tahoma"/>
            <family val="2"/>
            <charset val="204"/>
          </rPr>
          <t xml:space="preserve">Наталя:
08.10.-53 716,00 ПКД
</t>
        </r>
        <r>
          <rPr>
            <sz val="9"/>
            <color indexed="81"/>
            <rFont val="Tahoma"/>
            <family val="2"/>
            <charset val="204"/>
          </rPr>
          <t xml:space="preserve">
04.11.9432,00експерт
</t>
        </r>
      </text>
    </comment>
    <comment ref="Q76" authorId="2" shapeId="0" xr:uid="{8E72AAF3-3B11-4E75-85ED-C41CF0A34FDF}">
      <text>
        <r>
          <rPr>
            <b/>
            <sz val="9"/>
            <color indexed="81"/>
            <rFont val="Tahoma"/>
            <family val="2"/>
            <charset val="204"/>
          </rPr>
          <t>Наталя:
04.10.- 53 716,00 
ПКД</t>
        </r>
        <r>
          <rPr>
            <sz val="9"/>
            <color indexed="81"/>
            <rFont val="Tahoma"/>
            <family val="2"/>
            <charset val="204"/>
          </rPr>
          <t xml:space="preserve">
02.11.9432,00експерт.
</t>
        </r>
      </text>
    </comment>
    <comment ref="P78" authorId="2" shapeId="0" xr:uid="{4537A640-FFF7-4687-B2ED-2F9FCF131EB8}">
      <text>
        <r>
          <rPr>
            <b/>
            <sz val="9"/>
            <color indexed="81"/>
            <rFont val="Tahoma"/>
            <family val="2"/>
            <charset val="204"/>
          </rPr>
          <t>Миколаїшин Іванна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03.11.35313,00ПКД</t>
        </r>
      </text>
    </comment>
    <comment ref="Q78" authorId="2" shapeId="0" xr:uid="{7002A7D9-B7AE-47DD-AA78-B7DCAE8378FE}">
      <text>
        <r>
          <rPr>
            <b/>
            <sz val="9"/>
            <color indexed="81"/>
            <rFont val="Tahoma"/>
            <family val="2"/>
            <charset val="204"/>
          </rPr>
          <t>Миколаїшин Іванна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01.11.35313,00ПКД</t>
        </r>
      </text>
    </comment>
    <comment ref="P79" authorId="2" shapeId="0" xr:uid="{5F546A4D-7943-42A6-B2D5-6BDE2A4420C5}">
      <text>
        <r>
          <rPr>
            <sz val="9"/>
            <color indexed="81"/>
            <rFont val="Tahoma"/>
            <family val="2"/>
            <charset val="204"/>
          </rPr>
          <t xml:space="preserve">НАТАЛЯ:
12.12.-13116,00 ПКД
12.12.-1276876,80
12.12.-16759,41техн
</t>
        </r>
      </text>
    </comment>
    <comment ref="Q79" authorId="1" shapeId="0" xr:uid="{BDE3DE69-316C-4019-80DD-CEC57015E5B7}">
      <text>
        <r>
          <rPr>
            <b/>
            <sz val="9"/>
            <color indexed="81"/>
            <rFont val="Tahoma"/>
            <family val="2"/>
            <charset val="204"/>
          </rPr>
          <t>Inna:</t>
        </r>
        <r>
          <rPr>
            <sz val="9"/>
            <color indexed="81"/>
            <rFont val="Tahoma"/>
            <family val="2"/>
            <charset val="204"/>
          </rPr>
          <t xml:space="preserve">
04.10.-13116,00 ПКД
25.10.6240,0експерт
10.11.-1276876,80
10.11.-16759,41технаг
</t>
        </r>
      </text>
    </comment>
    <comment ref="P80" authorId="2" shapeId="0" xr:uid="{7B487BD3-1C04-45B9-A075-04C070CE6DA3}">
      <text>
        <r>
          <rPr>
            <sz val="9"/>
            <color indexed="81"/>
            <rFont val="Tahoma"/>
            <family val="2"/>
            <charset val="204"/>
          </rPr>
          <t xml:space="preserve">НАТАЛЯ:
12.12.-9368,00 ПКД
12.12.-737067,6
12.12.-9677,33
</t>
        </r>
      </text>
    </comment>
    <comment ref="Q80" authorId="1" shapeId="0" xr:uid="{852B90FE-EE6B-4577-B46E-429DB2525D81}">
      <text>
        <r>
          <rPr>
            <b/>
            <sz val="9"/>
            <color indexed="81"/>
            <rFont val="Tahoma"/>
            <family val="2"/>
            <charset val="204"/>
          </rPr>
          <t>Inna:</t>
        </r>
        <r>
          <rPr>
            <sz val="9"/>
            <color indexed="81"/>
            <rFont val="Tahoma"/>
            <family val="2"/>
            <charset val="204"/>
          </rPr>
          <t xml:space="preserve">
04.10.-9368,00 ПКД
25.10.-737067,6
25.10.-9677,33</t>
        </r>
      </text>
    </comment>
    <comment ref="P81" authorId="2" shapeId="0" xr:uid="{E24EF7A0-39A9-41E8-9DCF-DD350AF5B614}">
      <text>
        <r>
          <rPr>
            <sz val="9"/>
            <color indexed="81"/>
            <rFont val="Tahoma"/>
            <family val="2"/>
            <charset val="204"/>
          </rPr>
          <t xml:space="preserve">НАТАЛЯ:
12.12.-9368,00 ПКД
12.12.-579463,2 акт
12.12.9122,81
</t>
        </r>
      </text>
    </comment>
    <comment ref="Q81" authorId="1" shapeId="0" xr:uid="{0E395BA8-10A1-4941-A767-04947FCCF563}">
      <text>
        <r>
          <rPr>
            <b/>
            <sz val="9"/>
            <color indexed="81"/>
            <rFont val="Tahoma"/>
            <family val="2"/>
            <charset val="204"/>
          </rPr>
          <t>Inna:</t>
        </r>
        <r>
          <rPr>
            <sz val="9"/>
            <color indexed="81"/>
            <rFont val="Tahoma"/>
            <family val="2"/>
            <charset val="204"/>
          </rPr>
          <t xml:space="preserve">
04.10.-9368,00 ПКД
09.10.-579463,2 акт
25.10.9122,81</t>
        </r>
      </text>
    </comment>
    <comment ref="P82" authorId="2" shapeId="0" xr:uid="{040D685F-D511-451E-B40A-151B1162D993}">
      <text>
        <r>
          <rPr>
            <sz val="9"/>
            <color indexed="81"/>
            <rFont val="Tahoma"/>
            <family val="2"/>
            <charset val="204"/>
          </rPr>
          <t xml:space="preserve">Наталя:
12.12.-13116,00 ПКД
12.12.-6240,00експерт
12.12.-1453384,80
12.12.-19080,21технаг
</t>
        </r>
      </text>
    </comment>
    <comment ref="Q82" authorId="1" shapeId="0" xr:uid="{9294B048-D262-4964-A8FA-F0C98B9F94CB}">
      <text>
        <r>
          <rPr>
            <b/>
            <sz val="9"/>
            <color indexed="81"/>
            <rFont val="Tahoma"/>
            <family val="2"/>
            <charset val="204"/>
          </rPr>
          <t>Inna:</t>
        </r>
        <r>
          <rPr>
            <sz val="9"/>
            <color indexed="81"/>
            <rFont val="Tahoma"/>
            <family val="2"/>
            <charset val="204"/>
          </rPr>
          <t xml:space="preserve">
04.01.-13116,00 ПКД
25.10.-6240,00експерт
10.11.-1453384,80
10.11.-19080,21технаг</t>
        </r>
      </text>
    </comment>
    <comment ref="Q83" authorId="1" shapeId="0" xr:uid="{B3B40AA8-DC1E-45B7-8BD0-B35739B2E18D}">
      <text>
        <r>
          <rPr>
            <b/>
            <sz val="9"/>
            <color indexed="81"/>
            <rFont val="Tahoma"/>
            <family val="2"/>
            <charset val="204"/>
          </rPr>
          <t>Inna:</t>
        </r>
        <r>
          <rPr>
            <sz val="9"/>
            <color indexed="81"/>
            <rFont val="Tahoma"/>
            <family val="2"/>
            <charset val="204"/>
          </rPr>
          <t xml:space="preserve">
04.10.-9368,00 ПКД
09.10.-740569,2 акт
16.10.-9704,83 техн.</t>
        </r>
      </text>
    </comment>
    <comment ref="P84" authorId="2" shapeId="0" xr:uid="{E5B218CD-7886-49EE-AB81-773171063104}">
      <text>
        <r>
          <rPr>
            <sz val="9"/>
            <color indexed="81"/>
            <rFont val="Tahoma"/>
            <family val="2"/>
            <charset val="204"/>
          </rPr>
          <t xml:space="preserve">НАТАЛЯ:
14.12.-9368,00 ПКД
12.12.7865,52 тех
12.12.-598 827,60
</t>
        </r>
      </text>
    </comment>
    <comment ref="Q84" authorId="1" shapeId="0" xr:uid="{1D1435DB-20DD-4F69-A8C0-F96BCEA53F5F}">
      <text>
        <r>
          <rPr>
            <b/>
            <sz val="9"/>
            <color indexed="81"/>
            <rFont val="Tahoma"/>
            <family val="2"/>
            <charset val="204"/>
          </rPr>
          <t>Inna:</t>
        </r>
        <r>
          <rPr>
            <sz val="9"/>
            <color indexed="81"/>
            <rFont val="Tahoma"/>
            <family val="2"/>
            <charset val="204"/>
          </rPr>
          <t xml:space="preserve">
04.10.-9368,00 ПКД
25.10.7865,52 тех
07.11.-598 827,60</t>
        </r>
      </text>
    </comment>
    <comment ref="P85" authorId="2" shapeId="0" xr:uid="{F74D2D53-24AB-4F11-83F4-D04C6069FC07}">
      <text>
        <r>
          <rPr>
            <sz val="9"/>
            <color indexed="81"/>
            <rFont val="Tahoma"/>
            <family val="2"/>
            <charset val="204"/>
          </rPr>
          <t xml:space="preserve">
НАТАЛЯ:
12.12.-11242,00 ПКД
12.12.-825416,40
12.12.-10837,01технаг</t>
        </r>
      </text>
    </comment>
    <comment ref="Q85" authorId="1" shapeId="0" xr:uid="{C7ACF7AF-01FE-4D20-A516-D28F18933AF0}">
      <text>
        <r>
          <rPr>
            <b/>
            <sz val="9"/>
            <color indexed="81"/>
            <rFont val="Tahoma"/>
            <family val="2"/>
            <charset val="204"/>
          </rPr>
          <t>Inna:</t>
        </r>
        <r>
          <rPr>
            <sz val="9"/>
            <color indexed="81"/>
            <rFont val="Tahoma"/>
            <family val="2"/>
            <charset val="204"/>
          </rPr>
          <t xml:space="preserve">
04.10.-11242,00 ПКД
14.11.-825416,40
14.11.-10837,01технаг</t>
        </r>
      </text>
    </comment>
    <comment ref="P86" authorId="2" shapeId="0" xr:uid="{6471F7D5-653F-4521-8462-E7DB2D518B09}">
      <text>
        <r>
          <rPr>
            <b/>
            <sz val="9"/>
            <color indexed="81"/>
            <rFont val="Tahoma"/>
            <family val="2"/>
            <charset val="204"/>
          </rPr>
          <t>Наталя:
04.10.-9368,00 ПКД
14.11.-553014,00
14.11.-7268,57технаг.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86" authorId="1" shapeId="0" xr:uid="{CB89E3B3-B8D2-4929-9668-73538695B337}">
      <text>
        <r>
          <rPr>
            <b/>
            <sz val="9"/>
            <color indexed="81"/>
            <rFont val="Tahoma"/>
            <family val="2"/>
            <charset val="204"/>
          </rPr>
          <t>Inna:</t>
        </r>
        <r>
          <rPr>
            <sz val="9"/>
            <color indexed="81"/>
            <rFont val="Tahoma"/>
            <family val="2"/>
            <charset val="204"/>
          </rPr>
          <t xml:space="preserve">
04.10.-9368,00 ПКД
14.11.-553014,00
14.11.-7268,57технаг.</t>
        </r>
      </text>
    </comment>
    <comment ref="P87" authorId="2" shapeId="0" xr:uid="{8DF9DF2D-3A1F-42FC-A2C2-628317F6A107}">
      <text>
        <r>
          <rPr>
            <sz val="9"/>
            <color indexed="81"/>
            <rFont val="Tahoma"/>
            <family val="2"/>
            <charset val="204"/>
          </rPr>
          <t xml:space="preserve">Наталя:
14.12.-13116,00 ПКД
14.12.1250889,60
14.12.-16434,78технад
</t>
        </r>
      </text>
    </comment>
    <comment ref="Q87" authorId="1" shapeId="0" xr:uid="{D8E866A2-A5C3-4D9D-B64F-9E84AE0216C6}">
      <text>
        <r>
          <rPr>
            <b/>
            <sz val="9"/>
            <color indexed="81"/>
            <rFont val="Tahoma"/>
            <family val="2"/>
            <charset val="204"/>
          </rPr>
          <t>Inna:</t>
        </r>
        <r>
          <rPr>
            <sz val="9"/>
            <color indexed="81"/>
            <rFont val="Tahoma"/>
            <family val="2"/>
            <charset val="204"/>
          </rPr>
          <t xml:space="preserve">
04.10.-13116,00 ПКД
25.10.-6240,00експерт
14.11.1250889,60
14.11.-16434,78технаг</t>
        </r>
      </text>
    </comment>
    <comment ref="P88" authorId="2" shapeId="0" xr:uid="{CC7BBD3B-C196-4705-968B-78C096180C84}">
      <text>
        <r>
          <rPr>
            <sz val="9"/>
            <color indexed="81"/>
            <rFont val="Tahoma"/>
            <family val="2"/>
            <charset val="204"/>
          </rPr>
          <t xml:space="preserve">НАТАЛЯ:
12.12.-13116,00 ПКД
12.12.6240,00експерт
12.12.-1453474,80
12.12.-19053,98технаг
</t>
        </r>
      </text>
    </comment>
    <comment ref="Q88" authorId="1" shapeId="0" xr:uid="{203E10EE-F6E0-4C0D-B000-723659BAA9B6}">
      <text>
        <r>
          <rPr>
            <b/>
            <sz val="9"/>
            <color indexed="81"/>
            <rFont val="Tahoma"/>
            <family val="2"/>
            <charset val="204"/>
          </rPr>
          <t>Inna:</t>
        </r>
        <r>
          <rPr>
            <sz val="9"/>
            <color indexed="81"/>
            <rFont val="Tahoma"/>
            <family val="2"/>
            <charset val="204"/>
          </rPr>
          <t xml:space="preserve">
04.10.-13116,00 ПКД
25.10.6240,00експерт
10.11.-1453474,80
10.11.-19053,98технаг</t>
        </r>
      </text>
    </comment>
    <comment ref="P89" authorId="2" shapeId="0" xr:uid="{F2836AE6-57F6-434D-803F-A9D04A9F99B2}">
      <text>
        <r>
          <rPr>
            <sz val="9"/>
            <color indexed="81"/>
            <rFont val="Tahoma"/>
            <family val="2"/>
            <charset val="204"/>
          </rPr>
          <t xml:space="preserve">6240,00експерт
29.12.-1384086,00
29.12-18164,40технаг
</t>
        </r>
      </text>
    </comment>
    <comment ref="Q89" authorId="1" shapeId="0" xr:uid="{9194B30C-FFA4-4CEF-8AE4-E37CAAD609FF}">
      <text>
        <r>
          <rPr>
            <b/>
            <sz val="9"/>
            <color indexed="81"/>
            <rFont val="Tahoma"/>
            <family val="2"/>
            <charset val="204"/>
          </rPr>
          <t>Inna:</t>
        </r>
        <r>
          <rPr>
            <sz val="9"/>
            <color indexed="81"/>
            <rFont val="Tahoma"/>
            <family val="2"/>
            <charset val="204"/>
          </rPr>
          <t xml:space="preserve">
04.10.-13116,00 ПКД
25.10.  6240,00експерт
10.11.-1384086,00
10.11.-18164,40технаг</t>
        </r>
      </text>
    </comment>
    <comment ref="P90" authorId="2" shapeId="0" xr:uid="{EE8EBF1C-A036-49CA-B220-9AD1BEAB1F87}">
      <text>
        <r>
          <rPr>
            <b/>
            <sz val="9"/>
            <color indexed="81"/>
            <rFont val="Tahoma"/>
            <family val="2"/>
            <charset val="204"/>
          </rPr>
          <t>Наталя:
12.12.-11242,00 ПКД
12.12.-6240,00 експерт
12.12.-1365099,60
12.12-17910,16технаг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90" authorId="1" shapeId="0" xr:uid="{F3DAC257-1F50-4829-981F-3440E79C1CFC}">
      <text>
        <r>
          <rPr>
            <b/>
            <sz val="9"/>
            <color indexed="81"/>
            <rFont val="Tahoma"/>
            <family val="2"/>
            <charset val="204"/>
          </rPr>
          <t>Inna:</t>
        </r>
        <r>
          <rPr>
            <sz val="9"/>
            <color indexed="81"/>
            <rFont val="Tahoma"/>
            <family val="2"/>
            <charset val="204"/>
          </rPr>
          <t xml:space="preserve">
04.10.-11242,00 ПКД
25.10.-6240,00 експерт
14.11.-1365099,60
14.11-17910,16технаг
</t>
        </r>
      </text>
    </comment>
    <comment ref="P91" authorId="2" shapeId="0" xr:uid="{AA0919FF-716E-4B1F-A102-5A30CE00304A}">
      <text>
        <r>
          <rPr>
            <sz val="9"/>
            <color indexed="81"/>
            <rFont val="Tahoma"/>
            <family val="2"/>
            <charset val="204"/>
          </rPr>
          <t xml:space="preserve">НАТАЛЯ:
12.12.-13116,00 ПКД
12.12. 6240,00експерт
12.12.1451487,60
12.12.19027,85
</t>
        </r>
      </text>
    </comment>
    <comment ref="Q91" authorId="1" shapeId="0" xr:uid="{E146E132-5A5A-4D25-A45E-AC5682BFA93E}">
      <text>
        <r>
          <rPr>
            <b/>
            <sz val="9"/>
            <color indexed="81"/>
            <rFont val="Tahoma"/>
            <family val="2"/>
            <charset val="204"/>
          </rPr>
          <t>Inna:</t>
        </r>
        <r>
          <rPr>
            <sz val="9"/>
            <color indexed="81"/>
            <rFont val="Tahoma"/>
            <family val="2"/>
            <charset val="204"/>
          </rPr>
          <t xml:space="preserve">
04.10.-13116,00 ПКД
25.10. 6240,00експерт
21.11.1451487,60
21.11.19027,85</t>
        </r>
      </text>
    </comment>
    <comment ref="P92" authorId="2" shapeId="0" xr:uid="{3A4304E0-BE34-4A5D-B7F4-64B264ACC105}">
      <text>
        <r>
          <rPr>
            <sz val="9"/>
            <color indexed="81"/>
            <rFont val="Tahoma"/>
            <family val="2"/>
            <charset val="204"/>
          </rPr>
          <t xml:space="preserve">НАТАЛЯ:
12.12.-13116,00 ПКД
12.12.969634,80
12.12.12692,87
</t>
        </r>
      </text>
    </comment>
    <comment ref="Q92" authorId="1" shapeId="0" xr:uid="{FDFEE9D6-BF40-4618-896C-40E00456D03A}">
      <text>
        <r>
          <rPr>
            <b/>
            <sz val="9"/>
            <color indexed="81"/>
            <rFont val="Tahoma"/>
            <family val="2"/>
            <charset val="204"/>
          </rPr>
          <t>Inna:</t>
        </r>
        <r>
          <rPr>
            <sz val="9"/>
            <color indexed="81"/>
            <rFont val="Tahoma"/>
            <family val="2"/>
            <charset val="204"/>
          </rPr>
          <t xml:space="preserve">
04.10.-13116,00 ПКД
21.11.969634,80
21.11.12692,87</t>
        </r>
      </text>
    </comment>
    <comment ref="P93" authorId="2" shapeId="0" xr:uid="{D845C42E-DACD-4FC3-BFDB-3D607365559D}">
      <text>
        <r>
          <rPr>
            <b/>
            <sz val="9"/>
            <color indexed="81"/>
            <rFont val="Tahoma"/>
            <family val="2"/>
            <charset val="204"/>
          </rPr>
          <t>Наталя:
16.10.-13116,00 ПКД
29.12.-6240,00експ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93" authorId="0" shapeId="0" xr:uid="{8BD7BF73-C106-459E-9CE2-ECA60F8F3629}">
      <text>
        <r>
          <rPr>
            <sz val="9"/>
            <color indexed="81"/>
            <rFont val="Tahoma"/>
            <family val="2"/>
            <charset val="204"/>
          </rPr>
          <t>Наталя:
16.10.-13116,00 ПКД
07.11.-6240,00експ</t>
        </r>
      </text>
    </comment>
    <comment ref="P94" authorId="2" shapeId="0" xr:uid="{2CD90FFA-199C-4D4C-9C30-787B0E0E745E}">
      <text>
        <r>
          <rPr>
            <sz val="9"/>
            <color indexed="81"/>
            <rFont val="Tahoma"/>
            <family val="2"/>
            <charset val="204"/>
          </rPr>
          <t xml:space="preserve">НАТАЛЯ:
12.12.-9368,00 ПКД
12.12.-522888,00
12.12.-6861,57технаг
</t>
        </r>
      </text>
    </comment>
    <comment ref="Q94" authorId="0" shapeId="0" xr:uid="{36C3741D-FE25-4049-A121-6C4D8EEE1068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16.10.-9368,00 ПКД
14.11.-522888,00
14.11.-6861,57технаг</t>
        </r>
      </text>
    </comment>
    <comment ref="P95" authorId="2" shapeId="0" xr:uid="{C54947B4-ADBD-4AC3-BB10-97D394FB4458}">
      <text>
        <r>
          <rPr>
            <b/>
            <sz val="9"/>
            <color indexed="81"/>
            <rFont val="Tahoma"/>
            <family val="2"/>
            <charset val="204"/>
          </rPr>
          <t>НАТАЛЯ:
29.12.-11242,00 ПКД
29.12.6240,00експер
29.12.-1312814,40
29.12.-17232,92технаг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95" authorId="0" shapeId="0" xr:uid="{24EC17B4-B68A-4D78-A8C6-03F29D99F258}">
      <text>
        <r>
          <rPr>
            <b/>
            <sz val="9"/>
            <color indexed="81"/>
            <rFont val="Tahoma"/>
            <family val="2"/>
            <charset val="204"/>
          </rPr>
          <t>НАТАЛЯ:</t>
        </r>
        <r>
          <rPr>
            <sz val="9"/>
            <color indexed="81"/>
            <rFont val="Tahoma"/>
            <family val="2"/>
            <charset val="204"/>
          </rPr>
          <t xml:space="preserve">
16.10.-11242,00 ПКД
25.10.6240,00експерт
14.11.-1312814,40
14.11.-17232,92технаг</t>
        </r>
      </text>
    </comment>
    <comment ref="P96" authorId="2" shapeId="0" xr:uid="{4E481068-FCB6-406A-827D-FF2C448A4C00}">
      <text>
        <r>
          <rPr>
            <b/>
            <sz val="9"/>
            <color indexed="81"/>
            <rFont val="Tahoma"/>
            <family val="2"/>
            <charset val="204"/>
          </rPr>
          <t xml:space="preserve">Наталя:
29.12.-13116,00 ПКД
29.12.-6240,00експрт.
29.12.-1427788,8029.12.-18719,58 технаг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96" authorId="0" shapeId="0" xr:uid="{5525AB97-9614-4BB1-911D-BEF10883C503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16.10.-13116,00 ПКД
25.10.-6240,00експрт.
10.11.-1427788,80
10.11.-18719,58 технаг</t>
        </r>
      </text>
    </comment>
    <comment ref="P97" authorId="2" shapeId="0" xr:uid="{E1E914DE-DFB8-4DFB-8FB1-D3B0C6BAA905}">
      <text>
        <r>
          <rPr>
            <sz val="9"/>
            <color indexed="81"/>
            <rFont val="Tahoma"/>
            <family val="2"/>
            <charset val="204"/>
          </rPr>
          <t xml:space="preserve">НАТАЛЯ:
12.12.-11242,00 ПКД
12.12.-656305,2
12.12.-8611,19технаг
</t>
        </r>
      </text>
    </comment>
    <comment ref="Q97" authorId="0" shapeId="0" xr:uid="{9E1FA74A-5444-49F9-9437-7461687A455E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16.10.-11242,00 ПКД
10.11.-656305,2
10.11.-8611,19технаг
</t>
        </r>
      </text>
    </comment>
    <comment ref="P98" authorId="2" shapeId="0" xr:uid="{1F4D40C8-4F72-4FAC-9250-96D91FFCCDDA}">
      <text>
        <r>
          <rPr>
            <sz val="9"/>
            <color indexed="81"/>
            <rFont val="Tahoma"/>
            <family val="2"/>
            <charset val="204"/>
          </rPr>
          <t xml:space="preserve">НАТАЛЯ:
12.12.-13116,00 ПКД
12.12.6240,00експерт
12.12.1455523,20
12.12.-19097,48 технг
</t>
        </r>
      </text>
    </comment>
    <comment ref="Q98" authorId="0" shapeId="0" xr:uid="{7F6BE22A-E451-48DE-BA90-ADA923CDE7AF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16.10.-13116,00 ПКД
25.10.6240,00експерт
10.11.1455523,20
10.11.-19097,48 технг</t>
        </r>
      </text>
    </comment>
    <comment ref="P99" authorId="2" shapeId="0" xr:uid="{7D6BC8FD-84BA-469A-95E3-DD858B9F82DE}">
      <text>
        <r>
          <rPr>
            <b/>
            <sz val="9"/>
            <color indexed="81"/>
            <rFont val="Tahoma"/>
            <family val="2"/>
            <charset val="204"/>
          </rPr>
          <t>Наталя:
29.12.-13116,00 ПКД
29.12.-6240,00експер
29.12.1454236,80
29.12.-19074,02технагляд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99" authorId="0" shapeId="0" xr:uid="{F697D204-4C28-4175-97E2-FD1F93E4DF5A}">
      <text>
        <r>
          <rPr>
            <b/>
            <sz val="9"/>
            <color indexed="81"/>
            <rFont val="Tahoma"/>
            <family val="2"/>
            <charset val="204"/>
          </rPr>
          <t>Наталя:</t>
        </r>
        <r>
          <rPr>
            <sz val="9"/>
            <color indexed="81"/>
            <rFont val="Tahoma"/>
            <family val="2"/>
            <charset val="204"/>
          </rPr>
          <t xml:space="preserve">
16.10.-13116,00 ПКД
07.11.-6240,00експер
21.11.1454236,80
13.12.-19074,02технагляд</t>
        </r>
      </text>
    </comment>
    <comment ref="Q100" authorId="0" shapeId="0" xr:uid="{A4BCEB4E-224A-489F-A600-79C3329F7E17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16.10.-11242,00 ПКД
05.12.-621790,82
05.12.8151,82технагляд</t>
        </r>
      </text>
    </comment>
    <comment ref="P101" authorId="2" shapeId="0" xr:uid="{95AAF213-73A3-430A-9FA3-D3A51E35CAF0}">
      <text>
        <r>
          <rPr>
            <b/>
            <sz val="9"/>
            <color indexed="81"/>
            <rFont val="Tahoma"/>
            <family val="2"/>
            <charset val="204"/>
          </rPr>
          <t xml:space="preserve">Наталя:
08.10.-11 242,00 ПКД
</t>
        </r>
        <r>
          <rPr>
            <sz val="9"/>
            <color indexed="81"/>
            <rFont val="Tahoma"/>
            <family val="2"/>
            <charset val="204"/>
          </rPr>
          <t xml:space="preserve">
10.10.2023   965690,4
18.10. -12671,21 технагляд
</t>
        </r>
      </text>
    </comment>
    <comment ref="Q101" authorId="2" shapeId="0" xr:uid="{C5B4ACDF-C30D-479C-A8A0-3AB83CA9C144}">
      <text>
        <r>
          <rPr>
            <b/>
            <sz val="9"/>
            <color indexed="81"/>
            <rFont val="Tahoma"/>
            <family val="2"/>
            <charset val="204"/>
          </rPr>
          <t>Наталя:</t>
        </r>
        <r>
          <rPr>
            <sz val="9"/>
            <color indexed="81"/>
            <rFont val="Tahoma"/>
            <family val="2"/>
            <charset val="204"/>
          </rPr>
          <t xml:space="preserve">
04.10. 11 242,00 ПКД
09.10.  965690,4 акт
16.10.-12671,21 техн.</t>
        </r>
      </text>
    </comment>
    <comment ref="P105" authorId="0" shapeId="0" xr:uid="{4A862D9E-7999-4509-A13C-7C4A5440C7B3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25.05-269221,00
18.08.-189747,00
</t>
        </r>
      </text>
    </comment>
    <comment ref="Q105" authorId="0" shapeId="0" xr:uid="{4A838004-3455-40B4-BE93-29B66C2C637F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23.05-269221,00
19.07.-189747,00
10.11.-98750ПКД</t>
        </r>
      </text>
    </comment>
    <comment ref="P106" authorId="0" shapeId="0" xr:uid="{BA5C2B67-1D8F-49D2-A243-6F6CAC94B861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25.09.-237510,00
04.12.-98750ПКД</t>
        </r>
      </text>
    </comment>
    <comment ref="Q106" authorId="0" shapeId="0" xr:uid="{6EA01249-56C6-4C1A-AEAC-35D660450A01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01.09.-237510,00 ПКД 
10.11.-161906</t>
        </r>
      </text>
    </comment>
    <comment ref="Q118" authorId="0" shapeId="0" xr:uid="{F6E04477-2A57-4948-9096-367A055DBE2C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22.09.-180000,00 проект
06.10.-126000,00 проект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Марта УКГ</author>
  </authors>
  <commentList>
    <comment ref="A6" authorId="0" shapeId="0" xr:uid="{00000000-0006-0000-1500-000001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" authorId="0" shapeId="0" xr:uid="{00000000-0006-0000-1500-000002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д.уг №3/83 від 17.01 на суму 80000,00грн</t>
        </r>
      </text>
    </comment>
    <comment ref="V6" authorId="0" shapeId="0" xr:uid="{00000000-0006-0000-1500-000003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25.01.-21356,70 акт №1-83
02.02.-17428,40 акт №2-83
16.02.-32400,98 акт №3-83
30.05.-7922,00</t>
        </r>
      </text>
    </comment>
    <comment ref="Y6" authorId="0" shapeId="0" xr:uid="{00000000-0006-0000-1500-000004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24.01.-21356,70 акт №1-83
01.02.-17428,40 акт №2-83
15.02.-32400,98, акт №3-83</t>
        </r>
      </text>
    </comment>
    <comment ref="A7" authorId="0" shapeId="0" xr:uid="{00000000-0006-0000-1500-000005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7" authorId="0" shapeId="0" xr:uid="{00000000-0006-0000-1500-000006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д.уг №4/83 від 17.01 на суму 67865,00 грн</t>
        </r>
      </text>
    </comment>
    <comment ref="V7" authorId="0" shapeId="0" xr:uid="{00000000-0006-0000-1500-000007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03.02.-26700,00 акт №9
30.05.-57040,00</t>
        </r>
      </text>
    </comment>
    <comment ref="Y7" authorId="0" shapeId="0" xr:uid="{00000000-0006-0000-1500-000008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02.02.-26700,00 акт №9
25.05-12680 акт №2
25.05.-16235 акт №1</t>
        </r>
      </text>
    </comment>
    <comment ref="V8" authorId="0" shapeId="0" xr:uid="{00000000-0006-0000-1500-000009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02.02.-53840,59 акт 1-5
15.03.-53768,59 акт2-5
28.03.-53941,39 акт3-5
22.04.-54474,19
30.05.-54430,99</t>
        </r>
      </text>
    </comment>
    <comment ref="Y8" authorId="0" shapeId="0" xr:uid="{00000000-0006-0000-1500-00000A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01.02.-53840,59 акт 1-5
14.03.-53768,59 акт№2-5
28.03.-53941,39 акт №3-5
21.04.-54474,19 акт 82-1
27.05.-54430,99 акт1-96
01.07.-54459,79
</t>
        </r>
      </text>
    </comment>
    <comment ref="V9" authorId="0" shapeId="0" xr:uid="{00000000-0006-0000-1500-00000B000000}">
      <text>
        <r>
          <rPr>
            <b/>
            <sz val="9"/>
            <color indexed="81"/>
            <rFont val="Tahoma"/>
            <family val="2"/>
            <charset val="204"/>
          </rPr>
          <t>30</t>
        </r>
        <r>
          <rPr>
            <sz val="9"/>
            <color indexed="81"/>
            <rFont val="Tahoma"/>
            <family val="2"/>
            <charset val="204"/>
          </rPr>
          <t>.05.-230383,20</t>
        </r>
      </text>
    </comment>
    <comment ref="Y9" authorId="0" shapeId="0" xr:uid="{00000000-0006-0000-1500-00000C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27.05.-230383,20</t>
        </r>
      </text>
    </comment>
    <comment ref="Y10" authorId="0" shapeId="0" xr:uid="{00000000-0006-0000-1500-00000D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01.07.-399997,20</t>
        </r>
      </text>
    </comment>
    <comment ref="V11" authorId="0" shapeId="0" xr:uid="{00000000-0006-0000-1500-00000E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14.02.-47629,24</t>
        </r>
      </text>
    </comment>
    <comment ref="Y11" authorId="0" shapeId="0" xr:uid="{00000000-0006-0000-1500-00000F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11.02.-47629,24</t>
        </r>
      </text>
    </comment>
    <comment ref="V12" authorId="0" shapeId="0" xr:uid="{00000000-0006-0000-1500-000010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07.04.-60456,00 акт №260
12.04.-39461,28 акт №266
26.05.-49903,68 акт№498</t>
        </r>
      </text>
    </comment>
    <comment ref="X12" authorId="0" shapeId="0" xr:uid="{00000000-0006-0000-1500-000011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2" authorId="0" shapeId="0" xr:uid="{00000000-0006-0000-1500-000012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05.04.-60456,00 акт №260
11.04.-39461,28 акт №266
25.05.-49903,68 акт№498
04.07.-84198,72 акт№642</t>
        </r>
      </text>
    </comment>
    <comment ref="Y13" authorId="0" shapeId="0" xr:uid="{00000000-0006-0000-1500-000013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01.07.-49950,64 півсфери бетонні</t>
        </r>
      </text>
    </comment>
    <comment ref="V14" authorId="0" shapeId="0" xr:uid="{00000000-0006-0000-1500-000014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01.06.-69000</t>
        </r>
      </text>
    </comment>
    <comment ref="Y14" authorId="0" shapeId="0" xr:uid="{00000000-0006-0000-1500-000015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01.06.-69000</t>
        </r>
      </text>
    </comment>
    <comment ref="V16" authorId="0" shapeId="0" xr:uid="{00000000-0006-0000-1500-000016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14.02.-19994,59</t>
        </r>
      </text>
    </comment>
    <comment ref="Y16" authorId="0" shapeId="0" xr:uid="{00000000-0006-0000-1500-000017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08.02.-19994,59</t>
        </r>
      </text>
    </comment>
    <comment ref="V18" authorId="0" shapeId="0" xr:uid="{00000000-0006-0000-1500-000018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25.01.-230,00
28.01.-230,00
07.02.-230,00
31.03.-39406,00 перепрограмування таймерів
03.05.-627,69
17.05.-230,00
20.05.-785,00
02.06.-230,00</t>
        </r>
      </text>
    </comment>
    <comment ref="Y18" authorId="0" shapeId="0" xr:uid="{00000000-0006-0000-1500-000019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21.01.-230,00
27.01.-230,00
04.02.-230,00
30.03.-39406,00
28.04.-627,69
16.05.-230,00
18.05.-785,00
02.06.-230,00</t>
        </r>
      </text>
    </comment>
    <comment ref="V19" authorId="0" shapeId="0" xr:uid="{00000000-0006-0000-1500-00001A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22.04.-8453,88</t>
        </r>
      </text>
    </comment>
    <comment ref="Y19" authorId="0" shapeId="0" xr:uid="{00000000-0006-0000-1500-00001B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22.04.-8453,88</t>
        </r>
      </text>
    </comment>
    <comment ref="Y29" authorId="0" shapeId="0" xr:uid="{00000000-0006-0000-1500-00001C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01.07.- 5621,00</t>
        </r>
      </text>
    </comment>
    <comment ref="V31" authorId="0" shapeId="0" xr:uid="{00000000-0006-0000-1500-00001D000000}">
      <text>
        <r>
          <rPr>
            <b/>
            <sz val="8"/>
            <color indexed="81"/>
            <rFont val="Tahoma"/>
            <family val="2"/>
            <charset val="204"/>
          </rPr>
          <t>Марта УКГ:</t>
        </r>
        <r>
          <rPr>
            <sz val="8"/>
            <color indexed="81"/>
            <rFont val="Tahoma"/>
            <family val="2"/>
            <charset val="204"/>
          </rPr>
          <t xml:space="preserve">
20.01.-336615,85 аванс
20.01.-1442,96 розрахункові
28.01.-149395,75 зарплата, пдв
04.02.-40854,98 відпускні, пальне
14.02.-227174,92 
24.01.-232411,06 зарплата
25/02/-93730,89 ПДВ
25.02.-46828,00 пальне
10.03.-40348,24 розрахункові та пальне
15.03.-250297,26 зарплата та паливо
16.03.-12629,52 матеріали
18.03.-13062,06 премія
24.03.-11811,37 відпускні
30.03.-209375,23 зарплата і ПДВ
05.04.-41572,59
07.04.-48587,66
14.04.-353193,32 аванс
21.04.-3391,60
21.04.-26280,18
28.04.-157725,81 зарплата
03.05.-53264,13 розрахункові та податок
04/05/-9450,92
05.05.-46166,48 
09.05.-+76033,00
10.05.-17956,01 відпускні
13.05.-298881,73 аванс і послуги
17.05.-27676,89 відпускні
23.05.-3400,00 гербіцид
30.05.-30174,00 матеріали
30.05.-220704,32 зарплата, матеріали
03.06.-84557,11
07.06.-105554,93
08.06.-17988,14
13.06.-352630,66
15,06.-40383,49
20.06.-148981,90
27.06.-341608,00 зарплата
29.06.-3019,04 зарплата
</t>
        </r>
      </text>
    </comment>
    <comment ref="Y31" authorId="0" shapeId="0" xr:uid="{00000000-0006-0000-1500-00001E000000}">
      <text>
        <r>
          <rPr>
            <b/>
            <sz val="8"/>
            <color indexed="81"/>
            <rFont val="Tahoma"/>
            <family val="2"/>
            <charset val="204"/>
          </rPr>
          <t>Марта УКГ:</t>
        </r>
        <r>
          <rPr>
            <sz val="8"/>
            <color indexed="81"/>
            <rFont val="Tahoma"/>
            <family val="2"/>
            <charset val="204"/>
          </rPr>
          <t xml:space="preserve">
18.01.-336615,85 аванс
19.01.-1442,96 розрахункові
27.01.-149395,75 зарплата
03.02.-40854,98 лікарняні, пальне
11.02.-227174,92 аванс лютий
23.02.-327321,95
25.02.-46828,00 пальне
09.03.-40348,24
11.03.-246297,26 зарплата
12.03.-5000,00 пальне
15.03.-1977,36 масло
15.03.-2060,88 насос,рукав
17.03.-13062,06 премія
23.03.-11811,37 відпускні
30.03.-233830,04 зарплата і пдв
04.04.-41572,59 ремонт та ПДВ
06.04.-48587,66 пальне, запчастини
13.04.-353193,32 аванс
20.04.-3391,60 відп.
21.04-26280,18
28.04.-157725,81 зарплата
30.09.-5130,00 матеріали не погоджено
02.05.-53264,13
03/05/-9450,92 
04.05.-46166,48 насіння трави, масло
06.05.-76030,00 паливо, добриво
09.05.-17956,01 відпускні
11.05.-298881,73 
16.05.-27676,89 ВІДПУСКНІ
23.05.-3400 матеріали
26.05. сторно(- 9440,00)кред.на 1.04.
26.05.-220704,32
27.05.-30147,00 
03.06.-84557,11 відпускні та пальне
06.06.-105554,93
07.06.-17988,14
10.06.-352630,66
13.06.-40749,00 відпускні
17.06.-148981,90
27.06.-341608,00
29.06.-3019,04 зарплата
04.07.-123419,75 озеленення
06.07.-334148,65</t>
        </r>
      </text>
    </comment>
    <comment ref="V32" authorId="0" shapeId="0" xr:uid="{00000000-0006-0000-1500-00001F000000}">
      <text>
        <r>
          <rPr>
            <b/>
            <sz val="8"/>
            <color indexed="81"/>
            <rFont val="Tahoma"/>
            <family val="2"/>
            <charset val="204"/>
          </rPr>
          <t>20</t>
        </r>
        <r>
          <rPr>
            <sz val="8"/>
            <color indexed="81"/>
            <rFont val="Tahoma"/>
            <family val="2"/>
            <charset val="204"/>
          </rPr>
          <t>.01.-107361,39 аванс
20.01.-406,99 розрахункові
28.01.-145679,87 зарплата пдв, лампи, паливо
04.02.-74971,71 пальне, лікарняні
09.02.-22107,59 ПДВ
14.02.-59630,42 зарплата
16.02.-51401,88 матеріали
22,02-10083,73 запчастини та відпускні
24.02.-181964,48 зарплата
25.02.-50814,64 ПДВ
25.02.-50000,00 пальне
10.03.-10877,03 відпускні
15.03.-158129,51 зарплата та паливо
18.03.-5305,27 премія
23.03.-29760,00 світильники
24.03.-56146,92 відпускні та пальне
30.03.-233803,04 зарплата і ПДВ
05.04-39831,69
07.04.-77577,00
11.04.-9652,8 матеріали
14.04.-123125,28 аванс
14.04.-13720 матеріали, послуги
21.04.-268,40
22.04.-49617,56
28.04.-74077,17 зарплата
03.05.-+7349,12 єд.податок
04.05.-7938,27
05.05.-3700,52
09.05.-+80270
10.05.-14550,35
13.05.-124450,99 аванс і матер.
23.05.-19500,00 світильник
30.05.-12952,00 матеріали послуги
30.05.-71677,01 зарплата
03.06.-20000,00 ПАЛЬНЕ
07.06-16231,76
08.06.-35545,78
13.06.-123918,79
15.06.-17870,29
20.06.-4953,65
27.06.-130105,69 зарплата
29.06.-851,51</t>
        </r>
      </text>
    </comment>
    <comment ref="Y32" authorId="0" shapeId="0" xr:uid="{00000000-0006-0000-1500-000020000000}">
      <text>
        <r>
          <rPr>
            <b/>
            <sz val="8"/>
            <color indexed="81"/>
            <rFont val="Tahoma"/>
            <family val="2"/>
            <charset val="204"/>
          </rPr>
          <t>Марта УКГ:</t>
        </r>
        <r>
          <rPr>
            <sz val="8"/>
            <color indexed="81"/>
            <rFont val="Tahoma"/>
            <family val="2"/>
            <charset val="204"/>
          </rPr>
          <t xml:space="preserve">
18.01.-107361,39 аванс
19.01.-406,99 розрахункові
27.01.-145679,87 зарплата, матеріали
03.02.-74971,71 лікарняні, пальне
08.02.-22107,59 пдв
11.02.-59630,42 аванс лютий
15.02.-51401,88 матеріали
21.02.-10083,73 запчастини, відпускні
23.02.-241655,40
25.02.-50000,00 пальне
09.03.-40637,03
11.03.-113197,51 зарплата
12.03.-44950,00 пальне
17.03.-5305,27 премія
23.03.-56146,92 відпускні, паливо
30.03.-209375,23 зарплата і пдв
04.04.-39831,69 кабель і ПДВ
06.04.-77577,00 пальне
11/04/-9652,80 матеріали
13.04.-123125,28 аванс
13.04.-13720,00 матеріали, послуги
20.04.268,40
20.04.-49617,56
28.04.-74077,17 зарплата
30.04.-325,80 запчастини(не погоджено)
02.05.-7349,12
03.05.-7938,27 відпускні
04.05.-3700,52
06.05.-80270,00 паливо, диск
09.05.-14550,35 відпускні. ізострічка,затискач
11.05.-124450,99
23.05.-19500,00 світильник
26.05.-сторно(-637,8)кред.на01.04.
26.05.-71677,01
27.05.-12952,00
03.06.-20000,00 пальне
06.06.-16231,76
07.06.-35545,78
10.06.-123918,79
13.06.-17870,29
17.06.-4953,65
27.06.-130105,69
29.06.-851,51 зарплата
04.07.-69599,49 освітлення
06.07.-109213,56</t>
        </r>
      </text>
    </comment>
    <comment ref="V33" authorId="0" shapeId="0" xr:uid="{00000000-0006-0000-1500-000021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14.02.-445,00
25.02.-89,00 ПДВ
24.03.-7792,00 пальне
30.03.-34732,88 зарплата і ПДВ
05.04.-1558,40,00 пдв
07.04.-22194
28.04.-50602,19 зарплата
03.05.-1455,92 єдиний податок
09.05.-+18500
30.05.-32325,84 зарплата
03.06.-28700,00 ПАЛЬНЕ
08.06.-1016,52
27.06.-35806,5 зарплата</t>
        </r>
      </text>
    </comment>
    <comment ref="Y33" authorId="0" shapeId="0" xr:uid="{00000000-0006-0000-1500-000022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11.02.-445,00
23.02.-89,00
23.03.-7792,00 пальне
30.03.-34732,88 зарплата і пдв
04.04.-1558,40 ПДВ
06.04.-22194,00 пальне
28.04.-50602,19 зарплата
39.04. -925, електроди(не погоджено)
02.05.-1455,92
06.05.-18500 дизпвливо
06.05.-сторно (-925) кред.01.04.
26.05.-32325,84
03.06.-28700,00 пальне
07.06.-1016,52
27.06.-35806,50</t>
        </r>
      </text>
    </comment>
    <comment ref="V35" authorId="0" shapeId="0" xr:uid="{00000000-0006-0000-1500-000023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20.01.-185919,11 аванс
27.01.-501553,05
28.01.-122431,72 пдв
14.02.-337963,71 зарплата
24.02.-396458,371 зарплата
25.02.-12096,00 пальне
15.03.-511490,68 зарплата
18.03.-51592,55(премія і віники)
30.03.-164571,19
07.04.-47723,15 пальне, матеріали
14.04.-361738,11 аванс
20.04.-40000
28.04.-353798,51 зарплата
05.05.-54400,00 пальне. мітли
13.05.-410252,15 аванс
30.05.-287825,46 зарплата
13.06.-287825,46
27.06.-433576,32 зарплата</t>
        </r>
      </text>
    </comment>
    <comment ref="Y35" authorId="0" shapeId="0" xr:uid="{00000000-0006-0000-1500-000024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18.01.-185919,11 аванс
27.01.-501553,05 зарплата та матеріали
27.01.-122431,72 ПДВ
11.02.-337963,71 зарплата
24.02.-396458,71 зарплата
25.02.-12096,00 пальне
12.03.-511490,68 зарплата
16.03.-51592,55 премія, віники
29.03.-164571,19 зарплата
05.04.-47723,15 матеріали
13.04.-361738,11 аванс
19.04.-40000
22.04.-353798,51 зарплата
04/05/-54400,00 мітли і бензин
11.05.-410252,15 аванс
27.05.-287825,46
14.06.-287825,46 аванс
22.06.-144623,49
24.06.-433576,32 зарплата
</t>
        </r>
      </text>
    </comment>
    <comment ref="V36" authorId="0" shapeId="0" xr:uid="{00000000-0006-0000-1500-000025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25.03.-300527,00 асфальт
30.03.-592033,84 асфальт
30.03.-54109,26 зарплата
06.04.-388580,63 паливо, щебінь, запчастини
11.04.-+477436,80 асфальт,запчастини
14.04.-212394,04 аванс
20.04.-1150849 асфальт
28.04.-411488,86 зарплата
03.05.-855030,00 </t>
        </r>
        <r>
          <rPr>
            <sz val="8"/>
            <color indexed="81"/>
            <rFont val="Tahoma"/>
            <family val="2"/>
            <charset val="204"/>
          </rPr>
          <t xml:space="preserve">асфальт,бітум та послуги катка
05.05.-1167520,00 асфальт, пальне
09.05.-+531240,00 асфальт, бітум
13.05.-240013,87 аванс
26.05.-1218420 асфальт
30.05.-987176,71 зарплата та послуги
30.05-486100,00 асфальт
06.06.-1273880,73 асфальт
14.06.-341413,87
15.06.-1268359.51
16.06.-1105615.54
27.06.-629088,11
27.06.-289050,88 зарплата
29.06.-412028,71 матеріали, ПДВ
</t>
        </r>
      </text>
    </comment>
    <comment ref="Y36" authorId="0" shapeId="0" xr:uid="{00000000-0006-0000-1500-000026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24.03.-300527,00
28.03.-54109,26 зарплата
29.03.-592033,84 асфальт
05.04.-388580,63 щебіль, пальне матеріали
07.04.-477436,80 (асфальт, щіти для Джонсона, алмазний диск)
13.04.-212394,04 аванс
19.04.-1150849
22.04.-411488,86 зарплат
02.05.-855030,00 асфальт, бітум, послуги 
04.05.-1167520,00 асфальт(936120), бензин(228400)
06.05.-531240,00 асфальт, бітум
11.05.-240013,87 аванс
24.05.-1218420 асфальт
27.05.-987176,71 зарплата і матеріали
27.05.-486100,00 асфальт
03.06.-1273880,73 МАТЕРІАЛИ
10.06.-341413,87 аванс
15.06.-1282230,51 матеріали(вільний залишок)
16.06.-1105615.54
24.06.-629088,11 асфальт щебінь
24.06.-289050,88 зарплата
29.06.-412028,71 паливо, ПДВ</t>
        </r>
      </text>
    </comment>
    <comment ref="V37" authorId="0" shapeId="0" xr:uid="{00000000-0006-0000-1500-000027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20.01.-305866,93 аванс
27.01.-532539,13 
28.01.-225890,72 пдв та сіль
14.02.-439879,48 зарплата
24.02.-491697,83 зарплата
25.02.-229204,00 пальне
18.03.-99120 (сіль і ремонт обладнання)
25.03.-15595,2 сіль
30.03.-570766,68
15.06.-13871,00</t>
        </r>
      </text>
    </comment>
    <comment ref="Y37" authorId="0" shapeId="0" xr:uid="{00000000-0006-0000-1500-000028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18.01.-305866,93 аванс
27.01.-632639,13 зарплата та матеріали
27.01.-225890,72 ПДВ та сіль
11.02.-439879,48 зарплата
24.02.-491697,88 зарплата
25.02.-229204,00 пальне
16.03.-99120 сіль, ремонт обладнання
24.03.-15595,20 сіль
28.03.-570766,68 зарплата, бензин
15.06.-13871,00</t>
        </r>
      </text>
    </comment>
    <comment ref="V38" authorId="0" shapeId="0" xr:uid="{00000000-0006-0000-1500-000029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20.04.-43771
28.04.-39772</t>
        </r>
      </text>
    </comment>
    <comment ref="Y38" authorId="0" shapeId="0" xr:uid="{00000000-0006-0000-1500-00002A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19.04.-43771
22.04.-39772 зарплата</t>
        </r>
      </text>
    </comment>
    <comment ref="V40" authorId="0" shapeId="0" xr:uid="{00000000-0006-0000-1500-00002B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01.02.-78991,89 зарплата
16.02.-105964,72 зарплата та ПДВ
24.02.-90572,08 зарплата
25.02.-19148,02 ПДВ
15.03.-82358,00 зарплата
18.03.-35741,6 паливо і ПДВ
29.03.-146679,60 зарплата  і ПДВ
31.03.-41733,7 паливо
14.04.-166400,75 аванс, ПДВ
28.04.221816,47 
28.04.(-29128,23) зарплата і ПДВ (скореговано)
29.04.-70767 пальне
17.05.-154981,62 зарплата та ПДВ
30.05.-190977,10 зарплата, пдв, матеріали
08.06.-51649,51
10.06.-106583,83+17803,06+75550
20.06.-57711,31
27.06.-201104,71</t>
        </r>
      </text>
    </comment>
    <comment ref="Y40" authorId="0" shapeId="0" xr:uid="{00000000-0006-0000-1500-00002C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31.01.-78991,89 зарплата
15.02.-105964,72 зарплата та ПДВ
23.02.-114888,10
12.03.-82358,00 зарплата
16.03.-35741,60 паливо,ПДВ
25.03.-146679,60 зарплата і ПДВ
30.03.-41733,70 паливо
13.04.-166400,75 аванс
28.04.-221816,47
28.04.-70767,00 паливо
12.05.-154981,62 аванс
27.05 сторно(-5168,00) кред за лютий
27.05.-190977,10
08.06.-51649,51
10.06.-1999936,89
17.06.-57711,31
23.06.-201104,71
06.07.-74865
</t>
        </r>
      </text>
    </comment>
    <comment ref="V41" authorId="0" shapeId="0" xr:uid="{00000000-0006-0000-1500-00002D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29.04.-12924,66 електроенергія
28.04.+-29128,23 зарплата і ПДВ (скореговано)
17.05.-13335,60зарплата
30.05.-41465,82 зарплата, елктроенергія, пдв
10.06.-5217,39+924
20.06.-1228,28
27.06.-21009,00</t>
        </r>
      </text>
    </comment>
    <comment ref="Y41" authorId="0" shapeId="0" xr:uid="{00000000-0006-0000-1500-00002E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28.04.-12924,66 електроенергія
28.04.+-29128,23 зарплата і ПДВ (скореговано)
12.05.-13335,60 аванс
27.05.-41465,82 зарплата та електроенергія
10.06.-6141,39
17.06.-1228,28
23.06.-21009,00</t>
        </r>
      </text>
    </comment>
    <comment ref="D42" authorId="0" shapeId="0" xr:uid="{00000000-0006-0000-1500-00002F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13.01.-2141143.4 розп.
13.01.-85799,00 розп</t>
        </r>
      </text>
    </comment>
    <comment ref="V42" authorId="0" shapeId="0" xr:uid="{00000000-0006-0000-1500-000030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26.01.-2871,49 розподіл
01/02-5917,91 розподіл Саджавка
03.02.-268465,15 розп.місто
04.02.-44201,30 розп.район
14.02.-7857,08 розп.Саджавка
10.03.-54783,91 розп.район і Саджавка
15.03.-129858,60 розп.місто
15.03.118993,04 спож.лютий(22-28)
11.04.-204241,55 розподіл
12.04.-489342,79 споживання
03.05.-1533437,7 спож.ПОН .(січ-лт.)
06.05.-260,20 розп.
13.05-69483,52 розп.місто і спож
17.05.-3212,96 розп.район
09.06.-899,18 розп.
13.06.-32432,94 розп.
15.06.-79846,8 спож.</t>
        </r>
      </text>
    </comment>
    <comment ref="W42" authorId="0" shapeId="0" xr:uid="{00000000-0006-0000-1500-000031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26.01.-2871,49 розподіл</t>
        </r>
      </text>
    </comment>
    <comment ref="Y42" authorId="0" shapeId="0" xr:uid="{00000000-0006-0000-1500-000032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26.01.-2871,49 розподіл
01.02.-5917,91 розподілд Саджавка
02.02.-268465,15 розподіл місто
03.02.-44201,30 розп.район
09.02.-7857,08 розп.Надвірна
09.03.-54783,91 розп.район і Надвірна
11.03.-129858,60 розп.місто
14.03.-118993,04 спож.лютий
07.04.-203213,92 розп.місто і район
08.04.-1027,63 розп.Саджавка
02.05.-1533437,70 спож.ПОН за січень-лютий
05.05.-260,20 розп.Саджавка
12.05.-69483,52 розп та спож
13.05.-3212,96 розп.район
08.06.-899,18 розп.
10.06.-32432,94 розп.
14.06.-79846,80 спож.
06.07.-32978,01 розп.</t>
        </r>
      </text>
    </comment>
    <comment ref="V44" authorId="0" shapeId="0" xr:uid="{00000000-0006-0000-1500-000033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01.03.-3921,26 судовий збір</t>
        </r>
      </text>
    </comment>
    <comment ref="W44" authorId="0" shapeId="0" xr:uid="{00000000-0006-0000-1500-000034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02.03.-3921,26 судовий збір</t>
        </r>
      </text>
    </comment>
    <comment ref="Y44" authorId="0" shapeId="0" xr:uid="{00000000-0006-0000-1500-000035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18/02/-3921,26 судовий збір</t>
        </r>
      </text>
    </comment>
    <comment ref="V45" authorId="0" shapeId="0" xr:uid="{00000000-0006-0000-1500-000036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21.01.-11412,60
26.04.-11412,60
19.05.-11412,60
15.06.-11412,60</t>
        </r>
      </text>
    </comment>
    <comment ref="Y45" authorId="0" shapeId="0" xr:uid="{00000000-0006-0000-1500-000037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19.01.-11412,60
22.04.-11412,60
19.05.-11420,60
14.06.+-11412,60</t>
        </r>
      </text>
    </comment>
    <comment ref="Y57" authorId="0" shapeId="0" xr:uid="{00000000-0006-0000-1500-000038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15430,73 проект</t>
        </r>
      </text>
    </comment>
    <comment ref="Y63" authorId="0" shapeId="0" xr:uid="{00000000-0006-0000-1500-000039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18801,79 проект</t>
        </r>
      </text>
    </comment>
    <comment ref="Y64" authorId="0" shapeId="0" xr:uid="{00000000-0006-0000-1500-00003A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03.03.-45235,00 проект</t>
        </r>
      </text>
    </comment>
    <comment ref="V67" authorId="0" shapeId="0" xr:uid="{00000000-0006-0000-1500-00003B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08.02.-17371,86 проект
08.02.-5881,00 експертиза</t>
        </r>
      </text>
    </comment>
    <comment ref="Y67" authorId="0" shapeId="0" xr:uid="{00000000-0006-0000-1500-00003C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08.02.-17371,86 проект
08.02.-5881,00 експертиза
29.04.-1756640,40
29.04.-22748,80</t>
        </r>
      </text>
    </comment>
    <comment ref="V68" authorId="0" shapeId="0" xr:uid="{00000000-0006-0000-1500-00003D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03.02.-16020,00 проект
5076,00 ЕКСПЕРТИЗА</t>
        </r>
      </text>
    </comment>
    <comment ref="Y68" authorId="0" shapeId="0" xr:uid="{00000000-0006-0000-1500-00003E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03.02.-16020,00 проект
09.02.-5076 експертиза
01.05.-868131,60
01.05.-11217,95 технегляд</t>
        </r>
      </text>
    </comment>
    <comment ref="Y69" authorId="0" shapeId="0" xr:uid="{00000000-0006-0000-1500-00003F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03.03.-4272,00 експертиза
03.03.-13226,34 проект</t>
        </r>
      </text>
    </comment>
    <comment ref="Y71" authorId="0" shapeId="0" xr:uid="{00000000-0006-0000-1500-000040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03.03.-4272,00 експертиза
03.03.-13226,34 проект</t>
        </r>
      </text>
    </comment>
    <comment ref="V79" authorId="0" shapeId="0" xr:uid="{00000000-0006-0000-1500-000041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03.02.-12150,00 проект</t>
        </r>
      </text>
    </comment>
    <comment ref="Y79" authorId="0" shapeId="0" xr:uid="{00000000-0006-0000-1500-000042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197000+2849,26
03.02.-12150,00 проект</t>
        </r>
      </text>
    </comment>
    <comment ref="Y83" authorId="0" shapeId="0" xr:uid="{00000000-0006-0000-1500-000043000000}">
      <text>
        <r>
          <rPr>
            <b/>
            <sz val="9"/>
            <color indexed="81"/>
            <rFont val="Tahoma"/>
            <family val="2"/>
            <charset val="204"/>
          </rPr>
          <t>Марта УКГ:
10146 кошторис</t>
        </r>
      </text>
    </comment>
    <comment ref="Y84" authorId="0" shapeId="0" xr:uid="{00000000-0006-0000-1500-000044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25.03.-25956,00 проект</t>
        </r>
      </text>
    </comment>
    <comment ref="Y86" authorId="0" shapeId="0" xr:uid="{00000000-0006-0000-1500-000045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16.03.-5900,00 експертиза</t>
        </r>
      </text>
    </comment>
    <comment ref="V87" authorId="0" shapeId="0" xr:uid="{00000000-0006-0000-1500-000046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03.02.-5900,00 експертиза</t>
        </r>
      </text>
    </comment>
    <comment ref="Y87" authorId="0" shapeId="0" xr:uid="{00000000-0006-0000-1500-000047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03.02.-5900,00 експертиза</t>
        </r>
      </text>
    </comment>
    <comment ref="V91" authorId="0" shapeId="0" xr:uid="{00000000-0006-0000-1500-000048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08.02.-12176,00 проект
08.02-4272,00 експертиза</t>
        </r>
      </text>
    </comment>
    <comment ref="Y91" authorId="0" shapeId="0" xr:uid="{00000000-0006-0000-1500-000049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08.02.-12176,00 проект
08.02-4272,00 експертиза</t>
        </r>
      </text>
    </comment>
    <comment ref="Y92" authorId="0" shapeId="0" xr:uid="{00000000-0006-0000-1500-00004A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03.03.-15318,00 проект
01.05.-4272,00 експертиза</t>
        </r>
      </text>
    </comment>
    <comment ref="Y98" authorId="0" shapeId="0" xr:uid="{00000000-0006-0000-1500-00004B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8"/>
            <color indexed="81"/>
            <rFont val="Tahoma"/>
            <family val="2"/>
            <charset val="204"/>
          </rPr>
          <t>15.03.-199248,00 роботи
15.03.-2916,57 технагляд
01.04.-+396969,30 роботи
01.04.-91628,01 роботи</t>
        </r>
        <r>
          <rPr>
            <sz val="8"/>
            <color indexed="81"/>
            <rFont val="Tahoma"/>
            <family val="2"/>
            <charset val="204"/>
          </rPr>
          <t xml:space="preserve">
28.06.-410384,87 роботи
28.06.-322786,44 роботи</t>
        </r>
      </text>
    </comment>
    <comment ref="Y99" authorId="0" shapeId="0" xr:uid="{00000000-0006-0000-1500-00004C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03.03.-616807,20 роботи
03.03.-7991,74 технагляд </t>
        </r>
      </text>
    </comment>
    <comment ref="V102" authorId="0" shapeId="0" xr:uid="{00000000-0006-0000-1500-00004D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03.02.-669672,00 роботи
08.02.-8734,09 технагляд</t>
        </r>
      </text>
    </comment>
    <comment ref="Y102" authorId="0" shapeId="0" xr:uid="{00000000-0006-0000-1500-00004E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03.02.-669672,00 роботи
09.02.-8734,09 технагляд</t>
        </r>
      </text>
    </comment>
    <comment ref="V105" authorId="0" shapeId="0" xr:uid="{00000000-0006-0000-1500-00004F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03.02.-193836,23 роботи
03.02.-2518,01 технагляд
08.02-(-470,28)</t>
        </r>
      </text>
    </comment>
    <comment ref="Y105" authorId="0" shapeId="0" xr:uid="{00000000-0006-0000-1500-000050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03.02.-193836,23 роботи
03.02.-22047,73 технагляд</t>
        </r>
      </text>
    </comment>
    <comment ref="V106" authorId="0" shapeId="0" xr:uid="{00000000-0006-0000-1500-000051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03.02.-307179,60 роботи
03.02.-4022,88 технагляд</t>
        </r>
      </text>
    </comment>
    <comment ref="Y106" authorId="0" shapeId="0" xr:uid="{00000000-0006-0000-1500-000052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03.02.-307179,60 роботи
03.02.-4022,88 технагляд</t>
        </r>
      </text>
    </comment>
    <comment ref="Y107" authorId="0" shapeId="0" xr:uid="{00000000-0006-0000-1500-000053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03.03.-204290,40 роботи
03.03.-2618,74 технагляд</t>
        </r>
      </text>
    </comment>
    <comment ref="V115" authorId="0" shapeId="0" xr:uid="{00000000-0006-0000-1500-000054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03.02.-54087,60 роботи
03.02.-697,16 технагляд
08.02.-0,045 технагляд</t>
        </r>
      </text>
    </comment>
    <comment ref="Y115" authorId="0" shapeId="0" xr:uid="{00000000-0006-0000-1500-000055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03.02.-54087,60 роботи
03.02.-697,61 технагляд</t>
        </r>
      </text>
    </comment>
    <comment ref="V126" authorId="0" shapeId="0" xr:uid="{00000000-0006-0000-1500-000056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03.02.-65975,00 роботи
03.02.-863,15 технагляд
08.02.(-65975,00) роботи
08.02.(-863,15) технагляд</t>
        </r>
      </text>
    </comment>
    <comment ref="Y126" authorId="0" shapeId="0" xr:uid="{00000000-0006-0000-1500-000057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15.03.- 67026,00 роботи
15.03.-863,15 технагляд</t>
        </r>
      </text>
    </comment>
    <comment ref="V143" authorId="0" shapeId="0" xr:uid="{00000000-0006-0000-1500-000058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03.02.-139500,00 роботи
03.02.-1940,00 технагляд</t>
        </r>
      </text>
    </comment>
    <comment ref="Y143" authorId="0" shapeId="0" xr:uid="{00000000-0006-0000-1500-000059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03.02.-139500,00 роботи
03.02.-1940,00 технагляд</t>
        </r>
      </text>
    </comment>
    <comment ref="Y149" authorId="0" shapeId="0" xr:uid="{00000000-0006-0000-1500-00005A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15.03.-6088,00</t>
        </r>
      </text>
    </comment>
    <comment ref="V151" authorId="0" shapeId="0" xr:uid="{00000000-0006-0000-1500-00005B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03.02.-2868800,00 роботи
03.02.-4252,93 технагляд</t>
        </r>
      </text>
    </comment>
    <comment ref="Y151" authorId="0" shapeId="0" xr:uid="{00000000-0006-0000-1500-00005C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03.02.-2868800,00 роботи
03.02.-4252,93 технагляд</t>
        </r>
      </text>
    </comment>
    <comment ref="V152" authorId="0" shapeId="0" xr:uid="{00000000-0006-0000-1500-00005D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03.02.-106570,00 роботи
03.02.-1580,51 технагляд</t>
        </r>
      </text>
    </comment>
    <comment ref="Y152" authorId="0" shapeId="0" xr:uid="{00000000-0006-0000-1500-00005E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03.02.-106570,00 роботи
03.02.-1580,51 технагляд</t>
        </r>
      </text>
    </comment>
    <comment ref="V154" authorId="0" shapeId="0" xr:uid="{00000000-0006-0000-1500-00005F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03.02.-287460,00 роботи
08.02.-4268,30 технагляд</t>
        </r>
      </text>
    </comment>
    <comment ref="Y154" authorId="0" shapeId="0" xr:uid="{00000000-0006-0000-1500-000060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03.02.-287460,00 роботи
08.02.-4268,30 технагляд</t>
        </r>
      </text>
    </comment>
    <comment ref="Y157" authorId="0" shapeId="0" xr:uid="{00000000-0006-0000-1500-000061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24.03.-25956 проект</t>
        </r>
      </text>
    </comment>
    <comment ref="Y158" authorId="0" shapeId="0" xr:uid="{00000000-0006-0000-1500-000062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24.03.-28470,00 проект</t>
        </r>
      </text>
    </comment>
    <comment ref="Y160" authorId="0" shapeId="0" xr:uid="{00000000-0006-0000-1500-000063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24.03.-25955,00 про</t>
        </r>
        <r>
          <rPr>
            <sz val="9"/>
            <color indexed="81"/>
            <rFont val="Tahoma"/>
            <family val="2"/>
            <charset val="204"/>
          </rPr>
          <t>ект
15897 проек</t>
        </r>
      </text>
    </comment>
    <comment ref="Y170" authorId="0" shapeId="0" xr:uid="{00000000-0006-0000-1500-000064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01.07.-66322,77</t>
        </r>
      </text>
    </comment>
    <comment ref="Y221" authorId="0" shapeId="0" xr:uid="{00000000-0006-0000-1500-000065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03.03.-8590,00 експертиза</t>
        </r>
      </text>
    </comment>
    <comment ref="Y225" authorId="0" shapeId="0" xr:uid="{00000000-0006-0000-1500-000066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7613,18 інженерно-геодезичні вишукування
</t>
        </r>
      </text>
    </comment>
    <comment ref="Y238" authorId="0" shapeId="0" xr:uid="{00000000-0006-0000-1500-000067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25955- ПРОЕК</t>
        </r>
      </text>
    </comment>
    <comment ref="Y239" authorId="0" shapeId="0" xr:uid="{00000000-0006-0000-1500-000068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17.03.-49952,00 проект</t>
        </r>
      </text>
    </comment>
    <comment ref="Y256" authorId="0" shapeId="0" xr:uid="{00000000-0006-0000-1500-000069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27.04.-3200</t>
        </r>
      </text>
    </comment>
    <comment ref="V269" authorId="0" shapeId="0" xr:uid="{00000000-0006-0000-1500-00006A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09.02.-1785204,38 кредит</t>
        </r>
      </text>
    </comment>
    <comment ref="W269" authorId="0" shapeId="0" xr:uid="{00000000-0006-0000-1500-00006B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08.02.-1785204,38 кредит</t>
        </r>
      </text>
    </comment>
    <comment ref="Y269" authorId="0" shapeId="0" xr:uid="{00000000-0006-0000-1500-00006C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08.02.-1785204,38 кредит
22.03.- 108523,85 канал. Театральна</t>
        </r>
      </text>
    </comment>
    <comment ref="V270" authorId="0" shapeId="0" xr:uid="{00000000-0006-0000-1500-00006D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01.02.-77111,11
01.03.-77111,11</t>
        </r>
      </text>
    </comment>
    <comment ref="Y270" authorId="0" shapeId="0" xr:uid="{00000000-0006-0000-1500-00006E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01.02.-77111,11
01.03.-77111,11</t>
        </r>
      </text>
    </comment>
    <comment ref="V273" authorId="0" shapeId="0" xr:uid="{00000000-0006-0000-1500-00006F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23.05.-3000000</t>
        </r>
      </text>
    </comment>
    <comment ref="W273" authorId="0" shapeId="0" xr:uid="{00000000-0006-0000-1500-000070000000}">
      <text>
        <r>
          <rPr>
            <b/>
            <sz val="9"/>
            <color indexed="81"/>
            <rFont val="Tahoma"/>
            <family val="2"/>
            <charset val="204"/>
          </rPr>
          <t>Марта
оплата 25.05.-3 млн.</t>
        </r>
      </text>
    </comment>
    <comment ref="Y273" authorId="0" shapeId="0" xr:uid="{00000000-0006-0000-1500-000071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20.05.-3000000</t>
        </r>
      </text>
    </comment>
    <comment ref="V274" authorId="0" shapeId="0" xr:uid="{00000000-0006-0000-1500-000072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09.06.-18255500</t>
        </r>
      </text>
    </comment>
    <comment ref="Y274" authorId="0" shapeId="0" xr:uid="{00000000-0006-0000-1500-000073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06.06.-18255500</t>
        </r>
      </text>
    </comment>
    <comment ref="Y283" authorId="0" shapeId="0" xr:uid="{00000000-0006-0000-1500-000074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03.03.-391188,00 роботи 
03.03.-5033,03 технагляд</t>
        </r>
      </text>
    </comment>
    <comment ref="F286" authorId="0" shapeId="0" xr:uid="{00000000-0006-0000-1500-000075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є ще акт 497042,56
але договір не зареєстрований</t>
        </r>
      </text>
    </comment>
    <comment ref="Y286" authorId="0" shapeId="0" xr:uid="{00000000-0006-0000-1500-000076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01.05.-497042,56 в т.ч. (33000,00 субвенція)</t>
        </r>
      </text>
    </comment>
    <comment ref="V287" authorId="0" shapeId="0" xr:uid="{00000000-0006-0000-1500-000077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01.03.-261417,48 за судовим рішенням</t>
        </r>
      </text>
    </comment>
    <comment ref="W287" authorId="0" shapeId="0" xr:uid="{00000000-0006-0000-1500-000078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03.03..-261417,48 за судовим рішенням</t>
        </r>
      </text>
    </comment>
    <comment ref="Y287" authorId="0" shapeId="0" xr:uid="{00000000-0006-0000-1500-000079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01.03.-261417,48 за судовим рішенням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Марта УКГ</author>
  </authors>
  <commentList>
    <comment ref="A6" authorId="0" shapeId="0" xr:uid="{00000000-0006-0000-1600-000001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" authorId="0" shapeId="0" xr:uid="{00000000-0006-0000-1600-000002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д.уг №3/83 від 17.01 на суму 80000,00грн</t>
        </r>
      </text>
    </comment>
    <comment ref="V6" authorId="0" shapeId="0" xr:uid="{00000000-0006-0000-1600-000003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25.01.-21356,70 акт №1-83
02.02.-17428,40 акт №2-83
16.02.-32400,98 акт №3-83
30.05.-7922,00</t>
        </r>
      </text>
    </comment>
    <comment ref="Y6" authorId="0" shapeId="0" xr:uid="{00000000-0006-0000-1600-000004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24.01.-21356,70 акт №1-83
01.02.-17428,40 акт №2-83
15.02.-32400,98, акт №3-83</t>
        </r>
      </text>
    </comment>
    <comment ref="A7" authorId="0" shapeId="0" xr:uid="{00000000-0006-0000-1600-000005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7" authorId="0" shapeId="0" xr:uid="{00000000-0006-0000-1600-000006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д.уг №4/83 від 17.01 на суму 67865,00 грн</t>
        </r>
      </text>
    </comment>
    <comment ref="V7" authorId="0" shapeId="0" xr:uid="{00000000-0006-0000-1600-000007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03.02.-26700,00 акт №9
30.05.-57040,00</t>
        </r>
      </text>
    </comment>
    <comment ref="Y7" authorId="0" shapeId="0" xr:uid="{00000000-0006-0000-1600-000008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02.02.-26700,00 акт №9
25.05-12680 акт №2
25.05.-16235 акт №1</t>
        </r>
      </text>
    </comment>
    <comment ref="V8" authorId="0" shapeId="0" xr:uid="{00000000-0006-0000-1600-000009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02.02.-53840,59 акт 1-5
15.03.-53768,59 акт2-5
28.03.-53941,39 акт3-5
22.04.-54474,19
30.05.-54430,99</t>
        </r>
      </text>
    </comment>
    <comment ref="Y8" authorId="0" shapeId="0" xr:uid="{00000000-0006-0000-1600-00000A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01.02.-53840,59 акт 1-5
14.03.-53768,59 акт№2-5
28.03.-53941,39 акт №3-5
21.04.-54474,19 акт 82-1
27.05.-54430,99 акт1-96
01.07.-54459,79
</t>
        </r>
      </text>
    </comment>
    <comment ref="V9" authorId="0" shapeId="0" xr:uid="{00000000-0006-0000-1600-00000B000000}">
      <text>
        <r>
          <rPr>
            <b/>
            <sz val="9"/>
            <color indexed="81"/>
            <rFont val="Tahoma"/>
            <family val="2"/>
            <charset val="204"/>
          </rPr>
          <t>30</t>
        </r>
        <r>
          <rPr>
            <sz val="9"/>
            <color indexed="81"/>
            <rFont val="Tahoma"/>
            <family val="2"/>
            <charset val="204"/>
          </rPr>
          <t>.05.-230383,20</t>
        </r>
      </text>
    </comment>
    <comment ref="Y9" authorId="0" shapeId="0" xr:uid="{00000000-0006-0000-1600-00000C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27.05.-230383,20</t>
        </r>
      </text>
    </comment>
    <comment ref="Y10" authorId="0" shapeId="0" xr:uid="{00000000-0006-0000-1600-00000D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01.07.-399997,20</t>
        </r>
      </text>
    </comment>
    <comment ref="V11" authorId="0" shapeId="0" xr:uid="{00000000-0006-0000-1600-00000E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14.02.-47629,24</t>
        </r>
      </text>
    </comment>
    <comment ref="Y11" authorId="0" shapeId="0" xr:uid="{00000000-0006-0000-1600-00000F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11.02.-47629,24</t>
        </r>
      </text>
    </comment>
    <comment ref="V12" authorId="0" shapeId="0" xr:uid="{00000000-0006-0000-1600-000010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07.04.-60456,00 акт №260
12.04.-39461,28 акт №266
26.05.-49903,68 акт№498</t>
        </r>
      </text>
    </comment>
    <comment ref="X12" authorId="0" shapeId="0" xr:uid="{00000000-0006-0000-1600-000011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2" authorId="0" shapeId="0" xr:uid="{00000000-0006-0000-1600-000012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05.04.-60456,00 акт №260
11.04.-39461,28 акт №266
25.05.-49903,68 акт№498
04.07.-84198,72 акт№642</t>
        </r>
      </text>
    </comment>
    <comment ref="Y13" authorId="0" shapeId="0" xr:uid="{00000000-0006-0000-1600-000013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01.07.-49950,64 півсфери бетонні</t>
        </r>
      </text>
    </comment>
    <comment ref="V14" authorId="0" shapeId="0" xr:uid="{00000000-0006-0000-1600-000014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01.06.-69000</t>
        </r>
      </text>
    </comment>
    <comment ref="Y14" authorId="0" shapeId="0" xr:uid="{00000000-0006-0000-1600-000015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01.06.-69000</t>
        </r>
      </text>
    </comment>
    <comment ref="V16" authorId="0" shapeId="0" xr:uid="{00000000-0006-0000-1600-000016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14.02.-19994,59</t>
        </r>
      </text>
    </comment>
    <comment ref="Y16" authorId="0" shapeId="0" xr:uid="{00000000-0006-0000-1600-000017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08.02.-19994,59</t>
        </r>
      </text>
    </comment>
    <comment ref="V18" authorId="0" shapeId="0" xr:uid="{00000000-0006-0000-1600-000018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25.01.-230,00
28.01.-230,00
07.02.-230,00
31.03.-39406,00 перепрограмування таймерів
03.05.-627,69
17.05.-230,00
20.05.-785,00
02.06.-230,00</t>
        </r>
      </text>
    </comment>
    <comment ref="Y18" authorId="0" shapeId="0" xr:uid="{00000000-0006-0000-1600-000019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21.01.-230,00
27.01.-230,00
04.02.-230,00
30.03.-39406,00
28.04.-627,69
16.05.-230,00
18.05.-785,00
02.06.-230,00</t>
        </r>
      </text>
    </comment>
    <comment ref="V19" authorId="0" shapeId="0" xr:uid="{00000000-0006-0000-1600-00001A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22.04.-8453,88</t>
        </r>
      </text>
    </comment>
    <comment ref="Y19" authorId="0" shapeId="0" xr:uid="{00000000-0006-0000-1600-00001B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22.04.-8453,88</t>
        </r>
      </text>
    </comment>
    <comment ref="Y29" authorId="0" shapeId="0" xr:uid="{00000000-0006-0000-1600-00001C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01.07.- 5621,00</t>
        </r>
      </text>
    </comment>
    <comment ref="V31" authorId="0" shapeId="0" xr:uid="{00000000-0006-0000-1600-00001D000000}">
      <text>
        <r>
          <rPr>
            <b/>
            <sz val="8"/>
            <color indexed="81"/>
            <rFont val="Tahoma"/>
            <family val="2"/>
            <charset val="204"/>
          </rPr>
          <t>Марта УКГ:</t>
        </r>
        <r>
          <rPr>
            <sz val="8"/>
            <color indexed="81"/>
            <rFont val="Tahoma"/>
            <family val="2"/>
            <charset val="204"/>
          </rPr>
          <t xml:space="preserve">
20.01.-336615,85 аванс
20.01.-1442,96 розрахункові
28.01.-149395,75 зарплата, пдв
04.02.-40854,98 відпускні, пальне
14.02.-227174,92 
24.01.-232411,06 зарплата
25/02/-93730,89 ПДВ
25.02.-46828,00 пальне
10.03.-40348,24 розрахункові та пальне
15.03.-250297,26 зарплата та паливо
16.03.-12629,52 матеріали
18.03.-13062,06 премія
24.03.-11811,37 відпускні
30.03.-209375,23 зарплата і ПДВ
05.04.-41572,59
07.04.-48587,66
14.04.-353193,32 аванс
21.04.-3391,60
21.04.-26280,18
28.04.-157725,81 зарплата
03.05.-53264,13 розрахункові та податок
04/05/-9450,92
05.05.-46166,48 
09.05.-+76033,00
10.05.-17956,01 відпускні
13.05.-298881,73 аванс і послуги
17.05.-27676,89 відпускні
23.05.-3400,00 гербіцид
30.05.-30174,00 матеріали
30.05.-220704,32 зарплата, матеріали
03.06.-84557,11
07.06.-105554,93
08.06.-17988,14
13.06.-352630,66
15,06.-40383,49
20.06.-148981,90
27.06.-341608,00 зарплата
29.06.-3019,04 зарплата
</t>
        </r>
      </text>
    </comment>
    <comment ref="Y31" authorId="0" shapeId="0" xr:uid="{00000000-0006-0000-1600-00001E000000}">
      <text>
        <r>
          <rPr>
            <b/>
            <sz val="8"/>
            <color indexed="81"/>
            <rFont val="Tahoma"/>
            <family val="2"/>
            <charset val="204"/>
          </rPr>
          <t>Марта УКГ:</t>
        </r>
        <r>
          <rPr>
            <sz val="8"/>
            <color indexed="81"/>
            <rFont val="Tahoma"/>
            <family val="2"/>
            <charset val="204"/>
          </rPr>
          <t xml:space="preserve">
18.01.-336615,85 аванс
19.01.-1442,96 розрахункові
27.01.-149395,75 зарплата
03.02.-40854,98 лікарняні, пальне
11.02.-227174,92 аванс лютий
23.02.-327321,95
25.02.-46828,00 пальне
09.03.-40348,24
11.03.-246297,26 зарплата
12.03.-5000,00 пальне
15.03.-1977,36 масло
15.03.-2060,88 насос,рукав
17.03.-13062,06 премія
23.03.-11811,37 відпускні
30.03.-233830,04 зарплата і пдв
04.04.-41572,59 ремонт та ПДВ
06.04.-48587,66 пальне, запчастини
13.04.-353193,32 аванс
20.04.-3391,60 відп.
21.04-26280,18
28.04.-157725,81 зарплата
30.09.-5130,00 матеріали не погоджено
02.05.-53264,13
03/05/-9450,92 
04.05.-46166,48 насіння трави, масло
06.05.-76030,00 паливо, добриво
09.05.-17956,01 відпускні
11.05.-298881,73 
16.05.-27676,89 ВІДПУСКНІ
23.05.-3400 матеріали
26.05. сторно(- 9440,00)кред.на 1.04.
26.05.-220704,32
27.05.-30147,00 
03.06.-84557,11 відпускні та пальне
06.06.-105554,93
07.06.-17988,14
10.06.-352630,66
13.06.-40749,00 відпускні
17.06.-148981,90
27.06.-341608,00
29.06.-3019,04 зарплата
04.07.-123419,75 озеленення</t>
        </r>
      </text>
    </comment>
    <comment ref="V32" authorId="0" shapeId="0" xr:uid="{00000000-0006-0000-1600-00001F000000}">
      <text>
        <r>
          <rPr>
            <b/>
            <sz val="8"/>
            <color indexed="81"/>
            <rFont val="Tahoma"/>
            <family val="2"/>
            <charset val="204"/>
          </rPr>
          <t>20</t>
        </r>
        <r>
          <rPr>
            <sz val="8"/>
            <color indexed="81"/>
            <rFont val="Tahoma"/>
            <family val="2"/>
            <charset val="204"/>
          </rPr>
          <t>.01.-107361,39 аванс
20.01.-406,99 розрахункові
28.01.-145679,87 зарплата пдв, лампи, паливо
04.02.-74971,71 пальне, лікарняні
09.02.-22107,59 ПДВ
14.02.-59630,42 зарплата
16.02.-51401,88 матеріали
22,02-10083,73 запчастини та відпускні
24.02.-181964,48 зарплата
25.02.-50814,64 ПДВ
25.02.-50000,00 пальне
10.03.-10877,03 відпускні
15.03.-158129,51 зарплата та паливо
18.03.-5305,27 премія
23.03.-29760,00 світильники
24.03.-56146,92 відпускні та пальне
30.03.-233803,04 зарплата і ПДВ
05.04-39831,69
07.04.-77577,00
11.04.-9652,8 матеріали
14.04.-123125,28 аванс
14.04.-13720 матеріали, послуги
21.04.-268,40
22.04.-49617,56
28.04.-74077,17 зарплата
03.05.-+7349,12 єд.податок
04.05.-7938,27
05.05.-3700,52
09.05.-+80270
10.05.-14550,35
13.05.-124450,99 аванс і матер.
23.05.-19500,00 світильник
30.05.-12952,00 матеріали послуги
30.05.-71677,01 зарплата
03.06.-20000,00 ПАЛЬНЕ
07.06-16231,76
08.06.-35545,78
13.06.-123918,79
15.06.-17870,29
20.06.-4953,65
27.06.-130105,69 зарплата
29.06.-851,51</t>
        </r>
      </text>
    </comment>
    <comment ref="Y32" authorId="0" shapeId="0" xr:uid="{00000000-0006-0000-1600-000020000000}">
      <text>
        <r>
          <rPr>
            <b/>
            <sz val="8"/>
            <color indexed="81"/>
            <rFont val="Tahoma"/>
            <family val="2"/>
            <charset val="204"/>
          </rPr>
          <t>Марта УКГ:</t>
        </r>
        <r>
          <rPr>
            <sz val="8"/>
            <color indexed="81"/>
            <rFont val="Tahoma"/>
            <family val="2"/>
            <charset val="204"/>
          </rPr>
          <t xml:space="preserve">
18.01.-107361,39 аванс
19.01.-406,99 розрахункові
27.01.-145679,87 зарплата, матеріали
03.02.-74971,71 лікарняні, пальне
08.02.-22107,59 пдв
11.02.-59630,42 аванс лютий
15.02.-51401,88 матеріали
21.02.-10083,73 запчастини, відпускні
23.02.-241655,40
25.02.-50000,00 пальне
09.03.-40637,03
11.03.-113197,51 зарплата
12.03.-44950,00 пальне
17.03.-5305,27 премія
23.03.-56146,92 відпускні, паливо
30.03.-209375,23 зарплата і пдв
04.04.-39831,69 кабель і ПДВ
06.04.-77577,00 пальне
11/04/-9652,80 матеріали
13.04.-123125,28 аванс
13.04.-13720,00 матеріали, послуги
20.04.268,40
20.04.-49617,56
28.04.-74077,17 зарплата
30.04.-325,80 запчастини(не погоджено)
02.05.-7349,12
03.05.-7938,27 відпускні
04.05.-3700,52
06.05.-80270,00 паливо, диск
09.05.-14550,35 відпускні. ізострічка,затискач
11.05.-124450,99
23.05.-19500,00 світильник
26.05.-сторно(-637,8)кред.на01.04.
26.05.-71677,01
27.05.-12952,00
03.06.-20000,00 пальне
06.06.-16231,76
07.06.-35545,78
10.06.-123918,79
13.06.-17870,29
17.06.-4953,65
27.06.-130105,69
29.06.-851,51 зарплата
04.07.-69599,49 освітлення</t>
        </r>
      </text>
    </comment>
    <comment ref="V33" authorId="0" shapeId="0" xr:uid="{00000000-0006-0000-1600-000021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14.02.-445,00
25.02.-89,00 ПДВ
24.03.-7792,00 пальне
30.03.-34732,88 зарплата і ПДВ
05.04.-1558,40,00 пдв
07.04.-22194
28.04.-50602,19 зарплата
03.05.-1455,92 єдиний податок
09.05.-+18500
30.05.-32325,84 зарплата
03.06.-28700,00 ПАЛЬНЕ
08.06.-1016,52
27.06.-35806,5 зарплата</t>
        </r>
      </text>
    </comment>
    <comment ref="Y33" authorId="0" shapeId="0" xr:uid="{00000000-0006-0000-1600-000022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11.02.-445,00
23.02.-89,00
23.03.-7792,00 пальне
30.03.-34732,88 зарплата і пдв
04.04.-1558,40 ПДВ
06.04.-22194,00 пальне
28.04.-50602,19 зарплата
39.04. -925, електроди(не погоджено)
02.05.-1455,92
06.05.-18500 дизпвливо
06.05.-сторно (-925) кред.01.04.
26.05.-32325,84
03.06.-28700,00 пальне
07.06.-1016,52
27.06.-35806,50</t>
        </r>
      </text>
    </comment>
    <comment ref="V35" authorId="0" shapeId="0" xr:uid="{00000000-0006-0000-1600-000023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20.01.-185919,11 аванс
27.01.-501553,05
28.01.-122431,72 пдв
14.02.-337963,71 зарплата
24.02.-396458,371 зарплата
25.02.-12096,00 пальне
15.03.-511490,68 зарплата
18.03.-51592,55(премія і віники)
30.03.-164571,19
07.04.-47723,15 пальне, матеріали
14.04.-361738,11 аванс
20.04.-40000
28.04.-353798,51 зарплата
05.05.-54400,00 пальне. мітли
13.05.-410252,15 аванс
30.05.-287825,46 зарплата
13.06.-287825,46
27.06.-433576,32 зарплата</t>
        </r>
      </text>
    </comment>
    <comment ref="Y35" authorId="0" shapeId="0" xr:uid="{00000000-0006-0000-1600-000024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18.01.-185919,11 аванс
27.01.-501553,05 зарплата та матеріали
27.01.-122431,72 ПДВ
11.02.-337963,71 зарплата
24.02.-396458,71 зарплата
25.02.-12096,00 пальне
12.03.-511490,68 зарплата
16.03.-51592,55 премія, віники
29.03.-164571,19 зарплата
05.04.-47723,15 матеріали
13.04.-361738,11 аванс
19.04.-40000
22.04.-353798,51 зарплата
04/05/-54400,00 мітли і бензин
11.05.-410252,15 аванс
27.05.-287825,46
14.06.-287825,46 аванс
22.06.-144623,49
24.06.-433576,32 зарплата
</t>
        </r>
      </text>
    </comment>
    <comment ref="V36" authorId="0" shapeId="0" xr:uid="{00000000-0006-0000-1600-000025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25.03.-300527,00 асфальт
30.03.-592033,84 асфальт
30.03.-54109,26 зарплата
06.04.-388580,63 паливо, щебінь, запчастини
11.04.-+477436,80 асфальт,запчастини
14.04.-212394,04 аванс
20.04.-1150849 асфальт
28.04.-411488,86 зарплата
03.05.-855030,00 </t>
        </r>
        <r>
          <rPr>
            <sz val="8"/>
            <color indexed="81"/>
            <rFont val="Tahoma"/>
            <family val="2"/>
            <charset val="204"/>
          </rPr>
          <t xml:space="preserve">асфальт,бітум та послуги катка
05.05.-1167520,00 асфальт, пальне
09.05.-+531240,00 асфальт, бітум
13.05.-240013,87 аванс
26.05.-1218420 асфальт
30.05.-987176,71 зарплата та послуги
30.05-486100,00 асфальт
06.06.-1273880,73 асфальт
14.06.-341413,87
15.06.-1268359.51
16.06.-1105615.54
27.06.-629088,11
27.06.-289050,88 зарплата
29.06.-412028,71 матеріали, ПДВ
</t>
        </r>
      </text>
    </comment>
    <comment ref="Y36" authorId="0" shapeId="0" xr:uid="{00000000-0006-0000-1600-000026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24.03.-300527,00
28.03.-54109,26 зарплата
29.03.-592033,84 асфальт
05.04.-388580,63 щебіль, пальне матеріали
07.04.-477436,80 (асфальт, щіти для Джонсона, алмазний диск)
13.04.-212394,04 аванс
19.04.-1150849
22.04.-411488,86 зарплат
02.05.-855030,00 асфальт, бітум, послуги 
04.05.-1167520,00 асфальт(936120), бензин(228400)
06.05.-531240,00 асфальт, бітум
11.05.-240013,87 аванс
24.05.-1218420 асфальт
27.05.-987176,71 зарплата і матеріали
27.05.-486100,00 асфальт
03.06.-1273880,73 МАТЕРІАЛИ
10.06.-341413,87 аванс
15.06.-1282230,51 матеріали(вільний залишок)
16.06.-1105615.54
24.06.-629088,11 асфальт щебінь
24.06.-289050,88 зарплата
29.06.-412028,71 паливо, ПДВ</t>
        </r>
      </text>
    </comment>
    <comment ref="V37" authorId="0" shapeId="0" xr:uid="{00000000-0006-0000-1600-000027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20.01.-305866,93 аванс
27.01.-532539,13 
28.01.-225890,72 пдв та сіль
14.02.-439879,48 зарплата
24.02.-491697,83 зарплата
25.02.-229204,00 пальне
18.03.-99120 (сіль і ремонт обладнання)
25.03.-15595,2 сіль
30.03.-570766,68
15.06.-13871,00</t>
        </r>
      </text>
    </comment>
    <comment ref="Y37" authorId="0" shapeId="0" xr:uid="{00000000-0006-0000-1600-000028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18.01.-305866,93 аванс
27.01.-632639,13 зарплата та матеріали
27.01.-225890,72 ПДВ та сіль
11.02.-439879,48 зарплата
24.02.-491697,88 зарплата
25.02.-229204,00 пальне
16.03.-99120 сіль, ремонт обладнання
24.03.-15595,20 сіль
28.03.-570766,68 зарплата, бензин
15.06.-13871,00</t>
        </r>
      </text>
    </comment>
    <comment ref="V38" authorId="0" shapeId="0" xr:uid="{00000000-0006-0000-1600-000029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20.04.-43771
28.04.-39772</t>
        </r>
      </text>
    </comment>
    <comment ref="Y38" authorId="0" shapeId="0" xr:uid="{00000000-0006-0000-1600-00002A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19.04.-43771
22.04.-39772 зарплата</t>
        </r>
      </text>
    </comment>
    <comment ref="V40" authorId="0" shapeId="0" xr:uid="{00000000-0006-0000-1600-00002B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01.02.-78991,89 зарплата
16.02.-105964,72 зарплата та ПДВ
24.02.-90572,08 зарплата
25.02.-19148,02 ПДВ
15.03.-82358,00 зарплата
18.03.-35741,6 паливо і ПДВ
29.03.-146679,60 зарплата  і ПДВ
31.03.-41733,7 паливо
14.04.-166400,75 аванс, ПДВ
28.04.221816,47 
28.04.(-29128,23) зарплата і ПДВ (скореговано)
29.04.-70767 пальне
17.05.-154981,62 зарплата та ПДВ
30.05.-190977,10 зарплата, пдв, матеріали
08.06.-51649,51
10.06.-106583,83+17803,06+75550
20.06.-57711,31
27.06.-201104,71</t>
        </r>
      </text>
    </comment>
    <comment ref="Y40" authorId="0" shapeId="0" xr:uid="{00000000-0006-0000-1600-00002C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31.01.-78991,89 зарплата
15.02.-105964,72 зарплата та ПДВ
23.02.-114888,10
12.03.-82358,00 зарплата
16.03.-35741,60 паливо,ПДВ
25.03.-146679,60 зарплата і ПДВ
30.03.-41733,70 паливо
13.04.-166400,75 аванс
28.04.-221816,47
28.04.-70767,00 паливо
12.05.-154981,62 аванс
27.05 сторно(-5168,00) кред за лютий
27.05.-190977,10
08.06.-51649,51
10.06.-1999936,89
17.06.-57711,31
23.06.-201104,71</t>
        </r>
      </text>
    </comment>
    <comment ref="V41" authorId="0" shapeId="0" xr:uid="{00000000-0006-0000-1600-00002D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29.04.-12924,66 електроенергія
28.04.+-29128,23 зарплата і ПДВ (скореговано)
17.05.-13335,60зарплата
30.05.-41465,82 зарплата, елктроенергія, пдв
10.06.-5217,39+924
20.06.-1228,28
27.06.-21009,00</t>
        </r>
      </text>
    </comment>
    <comment ref="Y41" authorId="0" shapeId="0" xr:uid="{00000000-0006-0000-1600-00002E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28.04.-12924,66 електроенергія
28.04.+-29128,23 зарплата і ПДВ (скореговано)
12.05.-13335,60 аванс
27.05.-41465,82 зарплата та електроенергія
10.06.-6141,39
17.06.-1228,28
23.06.-21009,00</t>
        </r>
      </text>
    </comment>
    <comment ref="D42" authorId="0" shapeId="0" xr:uid="{00000000-0006-0000-1600-00002F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13.01.-2141143.4 розп.
13.01.-85799,00 розп</t>
        </r>
      </text>
    </comment>
    <comment ref="V42" authorId="0" shapeId="0" xr:uid="{00000000-0006-0000-1600-000030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26.01.-2871,49 розподіл
01/02-5917,91 розподіл Саджавка
03.02.-268465,15 розп.місто
04.02.-44201,30 розп.район
14.02.-7857,08 розп.Саджавка
10.03.-54783,91 розп.район і Саджавка
15.03.-129858,60 розп.місто
15.03.118993,04 спож.лютий(22-28)
11.04.-204241,55 розподіл
12.04.-489342,79 споживання
03.05.-1533437,7 спож.ПОН .(січ-лт.)
06.05.-260,20 розп.
13.05-69483,52 розп.місто і спож
17.05.-3212,96 розп.район
09.06.-899,18 розп.
13.06.-32432,94 розп.
15.06.-79846,8 спож.</t>
        </r>
      </text>
    </comment>
    <comment ref="W42" authorId="0" shapeId="0" xr:uid="{00000000-0006-0000-1600-000031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26.01.-2871,49 розподіл</t>
        </r>
      </text>
    </comment>
    <comment ref="Y42" authorId="0" shapeId="0" xr:uid="{00000000-0006-0000-1600-000032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26.01.-2871,49 розподіл
01.02.-5917,91 розподілд Саджавка
02.02.-268465,15 розподіл місто
03.02.-44201,30 розп.район
09.02.-7857,08 розп.Надвірна
09.03.-54783,91 розп.район і Надвірна
11.03.-129858,60 розп.місто
14.03.-118993,04 спож.лютий
07.04.-203213,92 розп.місто і район
08.04.-1027,63 розп.Саджавка
02.05.-1533437,70 спож.ПОН за січень-лютий
05.05.-260,20 розп.Саджавка
12.05.-69483,52 розп та спож
13.05.-3212,96 розп.район
08.06.-899,18 розп.
10.06.-32432,94 розп.
14.06.-79846,80 спож.</t>
        </r>
      </text>
    </comment>
    <comment ref="V44" authorId="0" shapeId="0" xr:uid="{00000000-0006-0000-1600-000033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01.03.-3921,26 судовий збір</t>
        </r>
      </text>
    </comment>
    <comment ref="W44" authorId="0" shapeId="0" xr:uid="{00000000-0006-0000-1600-000034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02.03.-3921,26 судовий збір</t>
        </r>
      </text>
    </comment>
    <comment ref="Y44" authorId="0" shapeId="0" xr:uid="{00000000-0006-0000-1600-000035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18/02/-3921,26 судовий збір</t>
        </r>
      </text>
    </comment>
    <comment ref="V45" authorId="0" shapeId="0" xr:uid="{00000000-0006-0000-1600-000036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21.01.-11412,60
26.04.-11412,60
19.05.-11412,60
15.06.-11412,60</t>
        </r>
      </text>
    </comment>
    <comment ref="Y45" authorId="0" shapeId="0" xr:uid="{00000000-0006-0000-1600-000037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19.01.-11412,60
22.04.-11412,60
19.05.-11420,60
14.06.+-11412,60</t>
        </r>
      </text>
    </comment>
    <comment ref="Y57" authorId="0" shapeId="0" xr:uid="{00000000-0006-0000-1600-000038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15430,73 проект</t>
        </r>
      </text>
    </comment>
    <comment ref="Y63" authorId="0" shapeId="0" xr:uid="{00000000-0006-0000-1600-000039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18801,79 проект</t>
        </r>
      </text>
    </comment>
    <comment ref="Y64" authorId="0" shapeId="0" xr:uid="{00000000-0006-0000-1600-00003A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03.03.-45235,00 проект</t>
        </r>
      </text>
    </comment>
    <comment ref="V67" authorId="0" shapeId="0" xr:uid="{00000000-0006-0000-1600-00003B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08.02.-17371,86 проект
08.02.-5881,00 експертиза</t>
        </r>
      </text>
    </comment>
    <comment ref="Y67" authorId="0" shapeId="0" xr:uid="{00000000-0006-0000-1600-00003C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08.02.-17371,86 проект
08.02.-5881,00 експертиза
29.04.-1756640,40
29.04.-22748,80</t>
        </r>
      </text>
    </comment>
    <comment ref="V68" authorId="0" shapeId="0" xr:uid="{00000000-0006-0000-1600-00003D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03.02.-16020,00 проект
5076,00 ЕКСПЕРТИЗА</t>
        </r>
      </text>
    </comment>
    <comment ref="Y68" authorId="0" shapeId="0" xr:uid="{00000000-0006-0000-1600-00003E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03.02.-16020,00 проект
09.02.-5076 експертиза
01.05.-868131,60
01.05.-11217,95 технегляд</t>
        </r>
      </text>
    </comment>
    <comment ref="Y69" authorId="0" shapeId="0" xr:uid="{00000000-0006-0000-1600-00003F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03.03.-4272,00 експертиза
03.03.-13226,34 проект</t>
        </r>
      </text>
    </comment>
    <comment ref="Y71" authorId="0" shapeId="0" xr:uid="{00000000-0006-0000-1600-000040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03.03.-4272,00 експертиза
03.03.-13226,34 проект</t>
        </r>
      </text>
    </comment>
    <comment ref="V79" authorId="0" shapeId="0" xr:uid="{00000000-0006-0000-1600-000041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03.02.-12150,00 проект</t>
        </r>
      </text>
    </comment>
    <comment ref="Y79" authorId="0" shapeId="0" xr:uid="{00000000-0006-0000-1600-000042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197000+2849,26
03.02.-12150,00 проект</t>
        </r>
      </text>
    </comment>
    <comment ref="Y83" authorId="0" shapeId="0" xr:uid="{00000000-0006-0000-1600-000043000000}">
      <text>
        <r>
          <rPr>
            <b/>
            <sz val="9"/>
            <color indexed="81"/>
            <rFont val="Tahoma"/>
            <family val="2"/>
            <charset val="204"/>
          </rPr>
          <t>Марта УКГ:
10146 кошторис</t>
        </r>
      </text>
    </comment>
    <comment ref="Y84" authorId="0" shapeId="0" xr:uid="{00000000-0006-0000-1600-000044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25.03.-25956,00 проект</t>
        </r>
      </text>
    </comment>
    <comment ref="Y86" authorId="0" shapeId="0" xr:uid="{00000000-0006-0000-1600-000045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16.03.-5900,00 експертиза</t>
        </r>
      </text>
    </comment>
    <comment ref="V87" authorId="0" shapeId="0" xr:uid="{00000000-0006-0000-1600-000046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03.02.-5900,00 експертиза</t>
        </r>
      </text>
    </comment>
    <comment ref="Y87" authorId="0" shapeId="0" xr:uid="{00000000-0006-0000-1600-000047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03.02.-5900,00 експертиза</t>
        </r>
      </text>
    </comment>
    <comment ref="V91" authorId="0" shapeId="0" xr:uid="{00000000-0006-0000-1600-000048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08.02.-12176,00 проект
08.02-4272,00 експертиза</t>
        </r>
      </text>
    </comment>
    <comment ref="Y91" authorId="0" shapeId="0" xr:uid="{00000000-0006-0000-1600-000049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08.02.-12176,00 проект
08.02-4272,00 експертиза</t>
        </r>
      </text>
    </comment>
    <comment ref="Y92" authorId="0" shapeId="0" xr:uid="{00000000-0006-0000-1600-00004A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03.03.-15318,00 проект
01.05.-4272,00 експертиза</t>
        </r>
      </text>
    </comment>
    <comment ref="Y98" authorId="0" shapeId="0" xr:uid="{00000000-0006-0000-1600-00004B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8"/>
            <color indexed="81"/>
            <rFont val="Tahoma"/>
            <family val="2"/>
            <charset val="204"/>
          </rPr>
          <t>15.03.-199248,00 роботи
15.03.-2916,57 технагляд
01.04.-+396969,30 роботи
01.04.-91628,01 роботи</t>
        </r>
        <r>
          <rPr>
            <sz val="8"/>
            <color indexed="81"/>
            <rFont val="Tahoma"/>
            <family val="2"/>
            <charset val="204"/>
          </rPr>
          <t xml:space="preserve">
28.06.-410384,87 роботи
28.06.-322786,44 роботи</t>
        </r>
      </text>
    </comment>
    <comment ref="Y99" authorId="0" shapeId="0" xr:uid="{00000000-0006-0000-1600-00004C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03.03.-616807,20 роботи
03.03.-7991,74 технагляд </t>
        </r>
      </text>
    </comment>
    <comment ref="V102" authorId="0" shapeId="0" xr:uid="{00000000-0006-0000-1600-00004D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03.02.-669672,00 роботи
08.02.-8734,09 технагляд</t>
        </r>
      </text>
    </comment>
    <comment ref="Y102" authorId="0" shapeId="0" xr:uid="{00000000-0006-0000-1600-00004E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03.02.-669672,00 роботи
09.02.-8734,09 технагляд</t>
        </r>
      </text>
    </comment>
    <comment ref="V105" authorId="0" shapeId="0" xr:uid="{00000000-0006-0000-1600-00004F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03.02.-193836,23 роботи
03.02.-2518,01 технагляд
08.02-(-470,28)</t>
        </r>
      </text>
    </comment>
    <comment ref="Y105" authorId="0" shapeId="0" xr:uid="{00000000-0006-0000-1600-000050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03.02.-193836,23 роботи
03.02.-22047,73 технагляд</t>
        </r>
      </text>
    </comment>
    <comment ref="V106" authorId="0" shapeId="0" xr:uid="{00000000-0006-0000-1600-000051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03.02.-307179,60 роботи
03.02.-4022,88 технагляд</t>
        </r>
      </text>
    </comment>
    <comment ref="Y106" authorId="0" shapeId="0" xr:uid="{00000000-0006-0000-1600-000052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03.02.-307179,60 роботи
03.02.-4022,88 технагляд</t>
        </r>
      </text>
    </comment>
    <comment ref="Y107" authorId="0" shapeId="0" xr:uid="{00000000-0006-0000-1600-000053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03.03.-204290,40 роботи
03.03.-2618,74 технагляд</t>
        </r>
      </text>
    </comment>
    <comment ref="V115" authorId="0" shapeId="0" xr:uid="{00000000-0006-0000-1600-000054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03.02.-54087,60 роботи
03.02.-697,16 технагляд
08.02.-0,045 технагляд</t>
        </r>
      </text>
    </comment>
    <comment ref="Y115" authorId="0" shapeId="0" xr:uid="{00000000-0006-0000-1600-000055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03.02.-54087,60 роботи
03.02.-697,61 технагляд</t>
        </r>
      </text>
    </comment>
    <comment ref="V126" authorId="0" shapeId="0" xr:uid="{00000000-0006-0000-1600-000056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03.02.-65975,00 роботи
03.02.-863,15 технагляд
08.02.(-65975,00) роботи
08.02.(-863,15) технагляд</t>
        </r>
      </text>
    </comment>
    <comment ref="Y126" authorId="0" shapeId="0" xr:uid="{00000000-0006-0000-1600-000057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15.03.- 67026,00 роботи
15.03.-863,15 технагляд</t>
        </r>
      </text>
    </comment>
    <comment ref="V143" authorId="0" shapeId="0" xr:uid="{00000000-0006-0000-1600-000058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03.02.-139500,00 роботи
03.02.-1940,00 технагляд</t>
        </r>
      </text>
    </comment>
    <comment ref="Y143" authorId="0" shapeId="0" xr:uid="{00000000-0006-0000-1600-000059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03.02.-139500,00 роботи
03.02.-1940,00 технагляд</t>
        </r>
      </text>
    </comment>
    <comment ref="Y149" authorId="0" shapeId="0" xr:uid="{00000000-0006-0000-1600-00005A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15.03.-6088,00</t>
        </r>
      </text>
    </comment>
    <comment ref="V151" authorId="0" shapeId="0" xr:uid="{00000000-0006-0000-1600-00005B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03.02.-2868800,00 роботи
03.02.-4252,93 технагляд</t>
        </r>
      </text>
    </comment>
    <comment ref="Y151" authorId="0" shapeId="0" xr:uid="{00000000-0006-0000-1600-00005C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03.02.-2868800,00 роботи
03.02.-4252,93 технагляд</t>
        </r>
      </text>
    </comment>
    <comment ref="V152" authorId="0" shapeId="0" xr:uid="{00000000-0006-0000-1600-00005D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03.02.-106570,00 роботи
03.02.-1580,51 технагляд</t>
        </r>
      </text>
    </comment>
    <comment ref="Y152" authorId="0" shapeId="0" xr:uid="{00000000-0006-0000-1600-00005E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03.02.-106570,00 роботи
03.02.-1580,51 технагляд</t>
        </r>
      </text>
    </comment>
    <comment ref="V154" authorId="0" shapeId="0" xr:uid="{00000000-0006-0000-1600-00005F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03.02.-287460,00 роботи
08.02.-4268,30 технагляд</t>
        </r>
      </text>
    </comment>
    <comment ref="Y154" authorId="0" shapeId="0" xr:uid="{00000000-0006-0000-1600-000060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03.02.-287460,00 роботи
08.02.-4268,30 технагляд</t>
        </r>
      </text>
    </comment>
    <comment ref="Y157" authorId="0" shapeId="0" xr:uid="{00000000-0006-0000-1600-000061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24.03.-25956 проект</t>
        </r>
      </text>
    </comment>
    <comment ref="Y158" authorId="0" shapeId="0" xr:uid="{00000000-0006-0000-1600-000062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24.03.-28470,00 проект</t>
        </r>
      </text>
    </comment>
    <comment ref="Y160" authorId="0" shapeId="0" xr:uid="{00000000-0006-0000-1600-000063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24.03.-25955,00 про</t>
        </r>
        <r>
          <rPr>
            <sz val="9"/>
            <color indexed="81"/>
            <rFont val="Tahoma"/>
            <family val="2"/>
            <charset val="204"/>
          </rPr>
          <t>ект
15897 проек</t>
        </r>
      </text>
    </comment>
    <comment ref="Y170" authorId="0" shapeId="0" xr:uid="{00000000-0006-0000-1600-000064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01.07.-66322,77</t>
        </r>
      </text>
    </comment>
    <comment ref="Y221" authorId="0" shapeId="0" xr:uid="{00000000-0006-0000-1600-000065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03.03.-8590,00 експертиза</t>
        </r>
      </text>
    </comment>
    <comment ref="Y225" authorId="0" shapeId="0" xr:uid="{00000000-0006-0000-1600-000066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7613,18 інженерно-геодезичні вишукування
</t>
        </r>
      </text>
    </comment>
    <comment ref="Y238" authorId="0" shapeId="0" xr:uid="{00000000-0006-0000-1600-000067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25955- ПРОЕК</t>
        </r>
      </text>
    </comment>
    <comment ref="Y239" authorId="0" shapeId="0" xr:uid="{00000000-0006-0000-1600-000068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17.03.-49952,00 проект</t>
        </r>
      </text>
    </comment>
    <comment ref="Y256" authorId="0" shapeId="0" xr:uid="{00000000-0006-0000-1600-000069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27.04.-3200</t>
        </r>
      </text>
    </comment>
    <comment ref="V269" authorId="0" shapeId="0" xr:uid="{00000000-0006-0000-1600-00006A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09.02.-1785204,38 кредит</t>
        </r>
      </text>
    </comment>
    <comment ref="W269" authorId="0" shapeId="0" xr:uid="{00000000-0006-0000-1600-00006B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08.02.-1785204,38 кредит</t>
        </r>
      </text>
    </comment>
    <comment ref="Y269" authorId="0" shapeId="0" xr:uid="{00000000-0006-0000-1600-00006C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08.02.-1785204,38 кредит
22.03.- 108523,85 канал. Театральна</t>
        </r>
      </text>
    </comment>
    <comment ref="V270" authorId="0" shapeId="0" xr:uid="{00000000-0006-0000-1600-00006D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01.02.-77111,11
01.03.-77111,11</t>
        </r>
      </text>
    </comment>
    <comment ref="Y270" authorId="0" shapeId="0" xr:uid="{00000000-0006-0000-1600-00006E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01.02.-77111,11
01.03.-77111,11</t>
        </r>
      </text>
    </comment>
    <comment ref="V273" authorId="0" shapeId="0" xr:uid="{00000000-0006-0000-1600-00006F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23.05.-3000000</t>
        </r>
      </text>
    </comment>
    <comment ref="W273" authorId="0" shapeId="0" xr:uid="{00000000-0006-0000-1600-000070000000}">
      <text>
        <r>
          <rPr>
            <b/>
            <sz val="9"/>
            <color indexed="81"/>
            <rFont val="Tahoma"/>
            <family val="2"/>
            <charset val="204"/>
          </rPr>
          <t>Марта
оплата 25.05.-3 млн.</t>
        </r>
      </text>
    </comment>
    <comment ref="Y273" authorId="0" shapeId="0" xr:uid="{00000000-0006-0000-1600-000071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20.05.-3000000</t>
        </r>
      </text>
    </comment>
    <comment ref="V274" authorId="0" shapeId="0" xr:uid="{00000000-0006-0000-1600-000072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09.06.-18255500</t>
        </r>
      </text>
    </comment>
    <comment ref="Y274" authorId="0" shapeId="0" xr:uid="{00000000-0006-0000-1600-000073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06.06.-18255500</t>
        </r>
      </text>
    </comment>
    <comment ref="Y283" authorId="0" shapeId="0" xr:uid="{00000000-0006-0000-1600-000074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03.03.-391188,00 роботи 
03.03.-5033,03 технагляд</t>
        </r>
      </text>
    </comment>
    <comment ref="F286" authorId="0" shapeId="0" xr:uid="{00000000-0006-0000-1600-000075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є ще акт 497042,56
але договір не зареєстрований</t>
        </r>
      </text>
    </comment>
    <comment ref="Y286" authorId="0" shapeId="0" xr:uid="{00000000-0006-0000-1600-000076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01.05.-497042,56 в т.ч. (33000,00 субвенція)</t>
        </r>
      </text>
    </comment>
    <comment ref="V287" authorId="0" shapeId="0" xr:uid="{00000000-0006-0000-1600-000077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01.03.-261417,48 за судовим рішенням</t>
        </r>
      </text>
    </comment>
    <comment ref="W287" authorId="0" shapeId="0" xr:uid="{00000000-0006-0000-1600-000078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03.03..-261417,48 за судовим рішенням</t>
        </r>
      </text>
    </comment>
    <comment ref="Y287" authorId="0" shapeId="0" xr:uid="{00000000-0006-0000-1600-000079000000}">
      <text>
        <r>
          <rPr>
            <b/>
            <sz val="9"/>
            <color indexed="81"/>
            <rFont val="Tahoma"/>
            <family val="2"/>
            <charset val="204"/>
          </rPr>
          <t>Марта УКГ:</t>
        </r>
        <r>
          <rPr>
            <sz val="9"/>
            <color indexed="81"/>
            <rFont val="Tahoma"/>
            <family val="2"/>
            <charset val="204"/>
          </rPr>
          <t xml:space="preserve">
01.03.-261417,48 за судовим рішенням</t>
        </r>
      </text>
    </comment>
  </commentList>
</comments>
</file>

<file path=xl/sharedStrings.xml><?xml version="1.0" encoding="utf-8"?>
<sst xmlns="http://schemas.openxmlformats.org/spreadsheetml/2006/main" count="1742" uniqueCount="543">
  <si>
    <t>№ договру</t>
  </si>
  <si>
    <t>Дата договору</t>
  </si>
  <si>
    <t>сума договору</t>
  </si>
  <si>
    <t>Підрядник</t>
  </si>
  <si>
    <t>№ п/п</t>
  </si>
  <si>
    <t>Вид робіт</t>
  </si>
  <si>
    <t>КЕКВ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</si>
  <si>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</si>
  <si>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</si>
  <si>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</si>
  <si>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</si>
  <si>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</si>
  <si>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</si>
  <si>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</si>
  <si>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</si>
  <si>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</si>
  <si>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</si>
  <si>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</si>
  <si>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</si>
  <si>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Профінансовано фінуправлінням</t>
  </si>
  <si>
    <t>Профінансовано підрядним організ. касові</t>
  </si>
  <si>
    <t>Фінансування "+,-" до плану</t>
  </si>
  <si>
    <t>Виконано робіт підрядниками</t>
  </si>
  <si>
    <t>Виконання "+,-" до фінансування</t>
  </si>
  <si>
    <t>Виконання "+,-" до плану</t>
  </si>
  <si>
    <t>План видатків по КПКВК 3116030 "Організаця благоустрою населених пунктів" станом на 2021 рік</t>
  </si>
  <si>
    <t>Санітарна очистка вулиць, скверів та парків</t>
  </si>
  <si>
    <t>Послуги по утриманню притулку для бродячих тварин</t>
  </si>
  <si>
    <t>Відлов бродячих тварин та ветеринарні послуги для бродячих тварин</t>
  </si>
  <si>
    <t>Технічне обслуговування світлофорів</t>
  </si>
  <si>
    <t>Ремонт світлофорів</t>
  </si>
  <si>
    <t>Нанесення дорожної розмітки та встановлення дорожніх знаків</t>
  </si>
  <si>
    <t>Впорядкування відкритих водовідвідних канав</t>
  </si>
  <si>
    <t>Захоронення побутових відходів</t>
  </si>
  <si>
    <t>Обслуговування міського фонтану</t>
  </si>
  <si>
    <t>Догляд за озерами</t>
  </si>
  <si>
    <t>Встановлення, демонтаж новорічної ялинки</t>
  </si>
  <si>
    <t>Влаштування святкової ілюмінації</t>
  </si>
  <si>
    <t>Обслуговування приладів обліку електричної енергії</t>
  </si>
  <si>
    <t>Ремонт дитячих та спортивних майданчиків</t>
  </si>
  <si>
    <t>Ремонт об’єктів благоустрою</t>
  </si>
  <si>
    <t>Поточний ремонт автобусних зупинок</t>
  </si>
  <si>
    <t>Встановлення вказівників назв вулиць, адресних табличок, рекламних (інформаційних) стендів та щитів</t>
  </si>
  <si>
    <t>Виготовлення та встановлення малої архітектурної форми (писанка)</t>
  </si>
  <si>
    <t>Одержувач бюджетних коштів КП "Зеленосвіт"</t>
  </si>
  <si>
    <t>Обслуговування мереж вуличного освітлення</t>
  </si>
  <si>
    <t>Встановлення грат і монтаж огорож</t>
  </si>
  <si>
    <t>Одержувач бюджетних коштів КП "Полігон Екологія"</t>
  </si>
  <si>
    <t>Поточний ремонт дорожнього покриття ,в тому числі міжквартальні проїзди</t>
  </si>
  <si>
    <t>Утримання доріг в зимовий період</t>
  </si>
  <si>
    <t>Поточний ремонт мережі дощової каналізації</t>
  </si>
  <si>
    <t>Одержувач бюджетних коштів КП "Коломийська міська ритуальна служба"</t>
  </si>
  <si>
    <t>Утримання міських кладовищ</t>
  </si>
  <si>
    <t>Електроенергія для вуличного освітлення</t>
  </si>
  <si>
    <t>Судовий збір</t>
  </si>
  <si>
    <t>Виконання рішень суду</t>
  </si>
  <si>
    <t>Видача сертифікатів готовності об’єктів до експлуатації</t>
  </si>
  <si>
    <t>Всього по КЕКВ 2240</t>
  </si>
  <si>
    <t>Всього по КЕКВ 2273</t>
  </si>
  <si>
    <t>Всього по КЕКВ 2610</t>
  </si>
  <si>
    <t>Всього по КЕКВ 2800</t>
  </si>
  <si>
    <t>*в тому числі за рахунок субвенції з обласного бюджету</t>
  </si>
  <si>
    <t xml:space="preserve">Довідка фінансування та виконання робіт по УКГ </t>
  </si>
  <si>
    <t xml:space="preserve">План видатків по КПКВК 3116030 "Організаця благоустрою населених пунктів" станом на 2021 рік (фонд розвитку) </t>
  </si>
  <si>
    <t>Капітальний ремонт вулиць</t>
  </si>
  <si>
    <t>Капітальний ремонт дорожнього і тротуарного покриття вул. Гетьманська в м. Коломиї</t>
  </si>
  <si>
    <t>Капітальний ремонт вул. Кобилянської в м. Коломиї</t>
  </si>
  <si>
    <t>Капітальний ремонт дорожнього покриття вул.Довбуша в м.Коломиї</t>
  </si>
  <si>
    <t>Капітальний ремонт дорожнього і тротуарного покриття вул.Чайковського в м.Коломиї Івано-Франківської області</t>
  </si>
  <si>
    <t>Капітальний ремонт дорожнього покриття вул. Старицького в м. Коломиї</t>
  </si>
  <si>
    <t>Капітальний ремонт дорожнього покриття вул.Шипайла в м.Коломиї</t>
  </si>
  <si>
    <t>Капітальний ремонт дорожнього покриття вул.Маковея в м.Коломиї</t>
  </si>
  <si>
    <t>Капітальний ремонт дорожнього покриття вулиці Шопена в м.Коломиї</t>
  </si>
  <si>
    <t>Капітальний ремонт дорожнього покриття вул.Стефаника в м.Коломиї</t>
  </si>
  <si>
    <t>Капітальний ремонт дорожнього покриття вул.Заньковецької в м.Коломиї</t>
  </si>
  <si>
    <t>Капітальний ремонт дорожнього і тротуарного покриття вул.Винниченка в м.Коломиї. Коригування</t>
  </si>
  <si>
    <t>Капітальний ремонт дорожнього покриття вул. Шкрумеляка в м.Коломиї. Коригування</t>
  </si>
  <si>
    <t>Капітальний ремонт дорожнього покриття вул.Гонти та вул.Сонячної в м.Коломиї</t>
  </si>
  <si>
    <t>Капітальний ремонт дорожнього покриття вул.Нижанківського в м.Коломиї</t>
  </si>
  <si>
    <t>Капітальний ремонт дорожнього покриття вул.Кравченко в м.Коломиї</t>
  </si>
  <si>
    <t>Капітальний ремонт дорожнього покриття вул.Кічури в м.Коломиї</t>
  </si>
  <si>
    <t>Капітальний ремонт дорожнього покриття вулиці Пстрака в м.Коломиї</t>
  </si>
  <si>
    <t>Капітальний ремонт дорожнього покриття вул.Йосипа Сліпого в м.Коломиї</t>
  </si>
  <si>
    <t>Капітальний ремонт дорожнього покриття вул. Шевченка в с.Воскресинці Коломийської територіальної громади</t>
  </si>
  <si>
    <t>Капітальний ремонт дорожнього покриття вул. Рильського в м.Коломиї</t>
  </si>
  <si>
    <t>Капітальний ремонт тротуарів</t>
  </si>
  <si>
    <t>Капітальний ремонт тротуарів біля будинків №20-30 по вул.Богуна в м.Коломиї</t>
  </si>
  <si>
    <t>Капітальний ремонт тротуарів по вул.Маковея в м.Коломиї</t>
  </si>
  <si>
    <t>Капітальний ремонт тротуарів по вул. Миколайчука в м.Коломиї</t>
  </si>
  <si>
    <t>Капітальний ремонт тротуарів по вулиці Родини Кузьми</t>
  </si>
  <si>
    <t>Капітальний ремонт тротуарних доріжок від вул. Лисенка до вул.Січових Стрільців в м.Коломиї</t>
  </si>
  <si>
    <t>Капітальний ремонт пішохідних доріжок в парку Т. Шевченка м. Коломиї</t>
  </si>
  <si>
    <t xml:space="preserve">Капітальний ремонт тротуарів по вул. Бандери, 1,3 в м.Коломиї </t>
  </si>
  <si>
    <t xml:space="preserve">Капітальний ремонт тротуарів по вул. Бандери, 5, 7 в м.Коломиї </t>
  </si>
  <si>
    <t>Капітальний ремонт тротуарів по вул. Крип`якевича, 34, 36а в м.Коломиї</t>
  </si>
  <si>
    <t>Капітальний ремонт тротуарів по вул. Костомарова, 1 в м.Коломиї</t>
  </si>
  <si>
    <t>Капітальний ремонт тротуарів по вул.Чайковського, 34 в м.Коломиї</t>
  </si>
  <si>
    <t>Капітальний ремонт тротуарів по вул.Лесі Українки в с.Раківчик Коломийської територіальної громади</t>
  </si>
  <si>
    <t>Капітальний ремонт тротуарів біля будинків по вул.В.Стефаника,2а та 16 у м.Коломиї</t>
  </si>
  <si>
    <t>Капітальний ремонт міжквартальних проїздів</t>
  </si>
  <si>
    <t>Капітальний ремонт міжквартальних проїздів по вул. Коновальця, 19 в м.Коломиї</t>
  </si>
  <si>
    <t>Капітальний ремонт міжквартальних проїздів по вул.Валовій, 45 в м.Коломиї</t>
  </si>
  <si>
    <t>Капітальний ремонт міжквартальних проїздів по вул. Мазепи, 236, 250, 268, 270, 274 в м. Коломиї</t>
  </si>
  <si>
    <t>Капітальний ремонт міжквартальних проїздів по вул. Стефаника, 1 в м. Коломиї</t>
  </si>
  <si>
    <t>Капітальний ремонт міжквартальних проїздів по вул. Стефаника, 5, 2а в м. Коломиї</t>
  </si>
  <si>
    <t>Капітальний ремонт міжквартальних проїздів по вул. Лисенка,14 в м. Коломиї</t>
  </si>
  <si>
    <t>Капітальний ремонт міжквартальних проїздів по вул. Богуна, 36 в м. Коломиї</t>
  </si>
  <si>
    <t>Капітальний ремонт міжквартальних проїздів по вул.Січових Стрільців, 23, 25 та вул.Лисенка, 1 в м.Коломиї</t>
  </si>
  <si>
    <t>Капітальний ремонт міжквартальних проїздів по вул.Січових Стрільців,39 в м.Коломиї</t>
  </si>
  <si>
    <t>Капітальний ремонт міжквартальних проїздів по вул.Січових Стрільців,34 в м.Коломиї</t>
  </si>
  <si>
    <t>Капітальний ремонт міжквартальних проїздів по вул.Винниченка,1 в м.Коломиї</t>
  </si>
  <si>
    <t>Капітальний ремонт міжквартальних проїздів по вул. Привокзальна, 11 в м. Коломиї</t>
  </si>
  <si>
    <t>Капітальний ремонт міжквартальних проїздів по вулиці Куліша, 5, 7 в м. Коломиї</t>
  </si>
  <si>
    <t>Капітальний ремонт міжквартальних проїздів по вул.Січових Стрільців, 33 в м.Коломиї</t>
  </si>
  <si>
    <t>Капітальний ремонт міжквартальних проїздів по вул.Січових Стрільців, 35, 37 в м.Коломиї</t>
  </si>
  <si>
    <t>Капітальний ремонт міжквартальних проїздів по пл.Привокзальній, 8, 9 в м.Коломиї</t>
  </si>
  <si>
    <t>Капітальний ремонт міжквартальних проїздів по вул.Лисенка, 3 в м.Коломиї</t>
  </si>
  <si>
    <t>Капітальний ремонт міжквартальних проїздів по вул.Петлюри, 42 в м.Коломиї</t>
  </si>
  <si>
    <t>Капітальний ремонт міжквартальних проїздів по вул.Мазепи, 290-298а в м.Коломиї</t>
  </si>
  <si>
    <t>Капітальний ремонт міжквартальних проїздів по вул.Яворницького, 22 в м.Коломиї</t>
  </si>
  <si>
    <t>Капітальний ремонт міжквартальних проїздів по вул.Заньковецької, 12 в м.Коломиї</t>
  </si>
  <si>
    <t>Капітальний ремонт міжквартальних проїздів по вул.Пекарська, 8 в м.Коломиї</t>
  </si>
  <si>
    <t>Капітальний ремонт міжквартальних проїздів по вул.Петлюри, 38 в м.Коломиї</t>
  </si>
  <si>
    <t>Капітальний ремонт каналізаційних мереж</t>
  </si>
  <si>
    <t>Капітальний ремонт водопроводу по вул.Січневій в м.Коломиї</t>
  </si>
  <si>
    <t>Капітальний ремонт каналізаційних мереж по вулицях Соборній, Вишневій, Репіна, Покутській, Пулюя, Пчілки, Гоголя, Ніщинського, Білозора в м.Коломиї</t>
  </si>
  <si>
    <t>Капітальний ремонт каналізаційної мережі по вулиці Шкрумеляка 22,24 в м.Коломиї</t>
  </si>
  <si>
    <t>Капітальний ремонт каналізаційної мережі по вул. Гетьманській в м. Коломиї</t>
  </si>
  <si>
    <t>Капітальний ремонт майданчиків</t>
  </si>
  <si>
    <t>Капітальний ремонт дитячого майданчика по вул. Маковея, 8 в м.Коломиї</t>
  </si>
  <si>
    <t>Капітальний ремонт дитячого майданчика по вул. Довбуша, 108 в м.Коломиї</t>
  </si>
  <si>
    <t>Капітальний ремонт дитячого майданчика по вул. Лисенка, 30 в м.Коломиї</t>
  </si>
  <si>
    <t>Капітальний ремонт дитячого майданчика по вул. Хмельницького, 1а в м.Коломиї</t>
  </si>
  <si>
    <t>Капітальний ремонт дитячого майданчика по вул. Леонтовича, 20 в м.Коломиї</t>
  </si>
  <si>
    <t>Капітальний ремонт дитячого майданчика по вул. Леонтовича, 22 в м.Коломиї</t>
  </si>
  <si>
    <t>Капітальний ремонт дитячого майданчика по вул. Леонтовича, 30 в м.Коломиї</t>
  </si>
  <si>
    <t>Капітальний ремонт дитячого майданчика по вул. Мазепи, 248 в м.Коломиї</t>
  </si>
  <si>
    <t>Капітальний ремонт спортивного майданчика по вул. Петлюри, 42 в м.Коломиї</t>
  </si>
  <si>
    <t>Капітальний ремонт дитячого майданчика по вул. Петрушевичав м.Коломиї</t>
  </si>
  <si>
    <t>Капітальний ремонт дитячого майданчика по вул. Чайковського, 38-40 в м.Коломиї</t>
  </si>
  <si>
    <t>Капітальний ремонт дитячого майданчика по вул. Чайковського, 46-48 в м.Коломиї</t>
  </si>
  <si>
    <t>Капітальний ремонт дитячого майданчика в с.Воскресинці</t>
  </si>
  <si>
    <t>Капітальний ремонт спортивного майданчика в парку ім.Т. Шевченка в м.Коломиї</t>
  </si>
  <si>
    <t>Капітальний ремонт дитячого майданчика по вул. Перемоги, 24 с. Корнич</t>
  </si>
  <si>
    <t xml:space="preserve">Капітальний ремонт автобусних зупинок </t>
  </si>
  <si>
    <t>Капітальний ремонт мереж зовнішнього освітлення</t>
  </si>
  <si>
    <t>Капітальний ремонт вуличного освітлення по вулицях Білейчука, Зелена, Лугова, Шевченка, Гринюка в селі Воскресинці</t>
  </si>
  <si>
    <t>Капітальний ремонт вуличного освітлення по вул. І.Ткачука, Сарма-Соколовського в м.Коломиї</t>
  </si>
  <si>
    <t xml:space="preserve">Капітальний ремонт вуличного освітлення по вулицях Шевченка, Франка, Гагаріна, Рубанська, Карпатська в селі Іванівці </t>
  </si>
  <si>
    <t>Капітальний ремонт вуличного освітлення вулиць Січових Стрільців, Галицькій, Василя Стуса, Лісової в селі Шепарівці</t>
  </si>
  <si>
    <t>Капітальний ремонт інших об'єктів благоустрою</t>
  </si>
  <si>
    <t>Капітальний ремонт пішохідних доріжок прилеглої до озера території по вул.Хмельницького в м.Коломиї</t>
  </si>
  <si>
    <t>Капітальний ремонт пішохідних доріжок прилеглої до озера території по вул.Шипайла в м.Коломиї</t>
  </si>
  <si>
    <t>Інша діяльність у сфері житлово-комунального господарства</t>
  </si>
  <si>
    <t>1.Безбар`єрна Коломия</t>
  </si>
  <si>
    <t>План на 2022р.</t>
  </si>
  <si>
    <t>Провести роботи по облаштуванню зручних та безпечних з’їздів для осіб з обмеженими фізичними можливостями в місцях переходів вулиць територіальної громади міста (переходів)</t>
  </si>
  <si>
    <t>Провести роботи  по встановленню напрямних огороджень на пішохідних переходах територіальної громади міста</t>
  </si>
  <si>
    <t>Провести роботи по обладнанню світлофорних об’єктів засобами мовного супроводу пішохідної фази</t>
  </si>
  <si>
    <t>Влаштувати пандуси в житлових будинках де проживають особи з інвалідністю, які пересуваються на візках</t>
  </si>
  <si>
    <t>1.1</t>
  </si>
  <si>
    <t>1.2</t>
  </si>
  <si>
    <t>1.3</t>
  </si>
  <si>
    <t>1.4</t>
  </si>
  <si>
    <t>2.Локалізації та недопущення поширення борщівника Сосновського на території Коломийської ОТГ</t>
  </si>
  <si>
    <t>2</t>
  </si>
  <si>
    <t>РАЗОМ по КПКВ 3116090</t>
  </si>
  <si>
    <t>Разом по 2240</t>
  </si>
  <si>
    <t>Реалізація інших заходів щодо соціально-економічного розвитку територій</t>
  </si>
  <si>
    <t xml:space="preserve">Будівництво </t>
  </si>
  <si>
    <t>Нове будівництво майданчика для системи підземного збору і зберігання сміття в м.Коломиї</t>
  </si>
  <si>
    <t>Нове будівництво каналізаційної мережі по вул.Спортивній та вул. Молодіжній у с.Королівка Коломийської територіальної громади (в тому числі виготовлення проектно-кошторисної документації)</t>
  </si>
  <si>
    <t>Нове будівництво водопроводу від вул.Гордієнка до вул.Косачівської в м.Коломиї</t>
  </si>
  <si>
    <t>Нове будівництво каналізаційних мереж по вул.Франка в м.Коломия</t>
  </si>
  <si>
    <t>Нове будівництво каналізаційної мережі по вул.Станіславського, вул.Паторжинського вул.Григоренка в м.Коломиї</t>
  </si>
  <si>
    <t>Нове будівництво каналізаційної мережі по вул. Білейчука в с. Воскресинці Коломийської територіальної громади</t>
  </si>
  <si>
    <t>Нове будівництво каналізаційної мережі по вул. Довбуша від будинку №84 до вул.Майданського в м. Коломиї</t>
  </si>
  <si>
    <t>Разом по 3122</t>
  </si>
  <si>
    <t>Разом по КПКВК 3117370</t>
  </si>
  <si>
    <t>Охорона і раціональне використання природних ресурсів</t>
  </si>
  <si>
    <t>Встановлення інформаційного табло прогнозування часу фактичного прибуття громадського транспорту</t>
  </si>
  <si>
    <t>Встановлення інформаційних табличок на автобусних зупинках</t>
  </si>
  <si>
    <t>Розроблення паспортів автобусних маршрутів</t>
  </si>
  <si>
    <t>Встановлення оглядового майданчику на озері по вул.Чехова</t>
  </si>
  <si>
    <t>Поточний ремонт в`їздних знаків</t>
  </si>
  <si>
    <t>Встановлення урн для відходів</t>
  </si>
  <si>
    <t>Капітальний ремонт автобусних зупинок</t>
  </si>
  <si>
    <t> Разом по КЕКВ 2240</t>
  </si>
  <si>
    <t> Разом по КЕКВ 3132</t>
  </si>
  <si>
    <t>програма «Благоустрій Коломийської міської територіальної громади на 2021-2025 роки»</t>
  </si>
  <si>
    <t>Разом по КПКВК 3117691</t>
  </si>
  <si>
    <t>"Виконання заходів за рахунок цільових фондів, утворених Верховною  Радою Автономної Республіки Крим, органами місцевого самоврядування і місцевими органами виконавчої влади і фондів, утворених Верховною Радою</t>
  </si>
  <si>
    <t>Всього по КЕКВ 3122</t>
  </si>
  <si>
    <t>Внески до статутного капіталу суб'єктів господарювання на 2022 рік</t>
  </si>
  <si>
    <t>Статуний капітал КП "Полігон Екологія"</t>
  </si>
  <si>
    <t>Статутний капітал КП «Коломийська міська ритуальна служба»</t>
  </si>
  <si>
    <t>Статуний капітал КП "Зеленосвіт"</t>
  </si>
  <si>
    <t>програма «Охорона навколишнього природного середовища на 2021-2025 роки»</t>
  </si>
  <si>
    <t>Очищення русел річок в м.Коломия</t>
  </si>
  <si>
    <t>Посадка саджанців декоративних дерев</t>
  </si>
  <si>
    <t>Разом по КПКВК 3118311</t>
  </si>
  <si>
    <t>РАЗОМ  по УКГ</t>
  </si>
  <si>
    <t>Начальник відділу обліку та фінансової звітності-головний бухгалтер УКГ Марта Олексюк _____________</t>
  </si>
  <si>
    <t>Разом КПКВК 3116030</t>
  </si>
  <si>
    <t>80000</t>
  </si>
  <si>
    <t>ФОП Литвин О.А.</t>
  </si>
  <si>
    <t xml:space="preserve">85799грн   2141143.4грн    </t>
  </si>
  <si>
    <t>Заходи по озелененню</t>
  </si>
  <si>
    <t>д.уг №4/83</t>
  </si>
  <si>
    <t>24.01.</t>
  </si>
  <si>
    <t>ПП Маестро М</t>
  </si>
  <si>
    <t>ФОП Гринишин О.М.</t>
  </si>
  <si>
    <t>№12</t>
  </si>
  <si>
    <t>№13</t>
  </si>
  <si>
    <t>ТОВ "Будівельні автоматизовані технології"</t>
  </si>
  <si>
    <t>ФОП Фещук В.М.</t>
  </si>
  <si>
    <t>№285</t>
  </si>
  <si>
    <t>04.10.21р.</t>
  </si>
  <si>
    <t>ФОП Андрусяк С.В.</t>
  </si>
  <si>
    <t>ФОП Андрусяк С.В., ФОП Попович І.М.</t>
  </si>
  <si>
    <t>ТОВ "Автомагістраль ІФ", ФОП Пацак Р.Д.</t>
  </si>
  <si>
    <t>№20</t>
  </si>
  <si>
    <t>ТОВ "ЄВРОЕКСПЕРТИЗА"</t>
  </si>
  <si>
    <t>540/16</t>
  </si>
  <si>
    <t>540/17</t>
  </si>
  <si>
    <t>КП Полігон екологія</t>
  </si>
  <si>
    <t>№359</t>
  </si>
  <si>
    <t>ФОП Ковальчук О.А., ВКБ КМРДА</t>
  </si>
  <si>
    <t>ФОП Машталер А.Б., ФОП Пацак Р.Д.</t>
  </si>
  <si>
    <t>ТОВ Автомагістраль ІФ, ФОП Шелюг Ю.Р.</t>
  </si>
  <si>
    <t>№282, №21</t>
  </si>
  <si>
    <t xml:space="preserve">№302, </t>
  </si>
  <si>
    <t>18.10.21р.</t>
  </si>
  <si>
    <t>№301</t>
  </si>
  <si>
    <t>№303</t>
  </si>
  <si>
    <t>№256</t>
  </si>
  <si>
    <t>03.02.22р.</t>
  </si>
  <si>
    <t>ТОВ Автомагістраль ІФ</t>
  </si>
  <si>
    <t>ТОВ Проект 98</t>
  </si>
  <si>
    <t>№24, №25</t>
  </si>
  <si>
    <t>ФОП Пасяка Р.В.</t>
  </si>
  <si>
    <t>№423</t>
  </si>
  <si>
    <t>КП  Зеленосвіт</t>
  </si>
  <si>
    <t>№35</t>
  </si>
  <si>
    <t>№42</t>
  </si>
  <si>
    <t>Всього по КЕКВ 3132</t>
  </si>
  <si>
    <t>РАЗОМ ПО КПКВК 3116030</t>
  </si>
  <si>
    <t xml:space="preserve"> "Виконання інвестиційних проектів за рахунок інших субвенцій з державного бюджету"</t>
  </si>
  <si>
    <t>Капітальний ремонт дорожнього покриття вул.Старицького в м.Коломиї Івано-Франківської області</t>
  </si>
  <si>
    <t>Разом по КПКВК 3117380</t>
  </si>
  <si>
    <t>Разом по КПКВК 3117670</t>
  </si>
  <si>
    <t>ПП ДС "ПараПлан"</t>
  </si>
  <si>
    <t>№48</t>
  </si>
  <si>
    <t>ТОВ "Експерт Проект Груп"</t>
  </si>
  <si>
    <t xml:space="preserve">ФОП Пацак Р.Д. </t>
  </si>
  <si>
    <t>№50</t>
  </si>
  <si>
    <t>ТОВ "УК ЕКСПЕРТИЗА"</t>
  </si>
  <si>
    <t>№Т37-А/52</t>
  </si>
  <si>
    <t xml:space="preserve">ТОВ Автомагістрал ІФ ПП Пара План </t>
  </si>
  <si>
    <t>ТОВ Автомагістрал ІФ ПП Магістраль-ІФ, ТОВ "ЕКСПЕРТ ПРОЕКТ ГРУП"</t>
  </si>
  <si>
    <t>№56 від 25.02.22 №28, №37</t>
  </si>
  <si>
    <t>№57 від 25.02.22р №38, №39</t>
  </si>
  <si>
    <t xml:space="preserve"> 60 №47</t>
  </si>
  <si>
    <t xml:space="preserve"> ь</t>
  </si>
  <si>
    <t>ТОВ Проект 99</t>
  </si>
  <si>
    <t>02.03.</t>
  </si>
  <si>
    <t>№04-61</t>
  </si>
  <si>
    <t>Влаштування квіткової клумби</t>
  </si>
  <si>
    <t>Встановленняя рекламних тумб</t>
  </si>
  <si>
    <t>Капітальний ремонт дорожнього покриття вул.Хмельницького в м.Коломиї</t>
  </si>
  <si>
    <t>в тому числі за рахунок субвенції з обласного бюджету</t>
  </si>
  <si>
    <t>Капітальний ремонт тротуарів по вул.Пекарська, 8 в м.Коломиї</t>
  </si>
  <si>
    <t>Капітальний ремонт тротуарів по вул. Франка від вул. Павлика до вул. Моцарта м. Коломиї</t>
  </si>
  <si>
    <t>Капітальний ремонт міжквартальних проїздів біля будинків №56, 54 по вул.Чайковського в м.Коломиї</t>
  </si>
  <si>
    <t>Капітальний ремонт міжквартальних проїздів по вул.Крип`якевича, 34, 36, 36а в м.Коломиї</t>
  </si>
  <si>
    <t>Капітальний ремонт дитячого та спортивного майданчика на вулиці Шкільній у селі Товмачик Коломийського району Івано-Франківської області</t>
  </si>
  <si>
    <t>Капітальний ремонт спортивного майданчика на вулиці Центральній у селі Іванівці Коломийського району Івано-Франківської області</t>
  </si>
  <si>
    <t>Капітальний ремонт дитячого та спортивного майданчика на вулиці Атаманюка у місті Коломиї Івано-Франківської області</t>
  </si>
  <si>
    <t>Капітальний ремонт дитячого та спортивного майданчика на вулиці Заводській у селі Королівка Коломийського району Івано-Франківської області</t>
  </si>
  <si>
    <t>Капітальний ремонт автобусної зупинки на перехресті вулиць Грушевського - Шевченка в м.Коломиї</t>
  </si>
  <si>
    <t>Капітальний ремонт споруд та покращення технічного стану штучної водойми по вул.Шипайла в м.Коломиї</t>
  </si>
  <si>
    <t>Капітальний ремонт площі біля адміністративного будинку на вулиці Українській у селі Саджавка Надвірнянського району Івано-Франківської області</t>
  </si>
  <si>
    <t>*Заходи для боротьби з шкідливою дією вод р. Чорний Потік біля будинку № 94 по вул. Мазепи м.Коломиї (капітальний ремонт)</t>
  </si>
  <si>
    <t>* В. т. ч. кошти вільного залишку</t>
  </si>
  <si>
    <t>Нове будівництво каналізаційних мереж по вул. Франка в м.Коломия Івано-Франківської області &amp;</t>
  </si>
  <si>
    <t>**Нове будівництво каналізаційної мережі по вул.Довбуша в м.Коломия &amp;</t>
  </si>
  <si>
    <t>в тому числіф за рахунок ОФОНПС &amp;</t>
  </si>
  <si>
    <t>в тому числіф за рахунок субвенції з обласного бюджету @</t>
  </si>
  <si>
    <t>**Нове будівництво каналізаційної мережі по вул. Войнаровського в м. Коломиї @</t>
  </si>
  <si>
    <t xml:space="preserve">**Нове будівництво каналізаційної мережі по вул.Квітковій, вул.Лісовій, вул.Будівельній в м.Коломиї </t>
  </si>
  <si>
    <t>**Реконструкція та покращення технічного стану озера в парку ім. Т. Шевченка в м. Коломия</t>
  </si>
  <si>
    <t>Всього по КЕКВ 3142</t>
  </si>
  <si>
    <t>* В т.ч.кошти вільного залишку (КЕКВ 2240)</t>
  </si>
  <si>
    <t>&amp; В т.ч. субвенція з ОФОНПС</t>
  </si>
  <si>
    <t>@ В т.ч. субвенція з обласного бюджету</t>
  </si>
  <si>
    <t>**В т.ч.кошти бюджету розвитку</t>
  </si>
  <si>
    <t>"Будівництво освітніх установ та закладів"</t>
  </si>
  <si>
    <t>Нове будівництво баскетбольного поля на території Коломийського ліцею №6 імені Героя України Тараса Сенюка на вулиці М.Леонтовича,14 у місті Коломиї Івано - Франківської області</t>
  </si>
  <si>
    <t>Нове будівництво спортивного майданчика Товмачицького ліцею по вул.І.Франка,1 в с.Товмачик Коломийського району Івано-Франківської області</t>
  </si>
  <si>
    <t>Реконструкція шляхом комплексної термомодернізації будівлі Коломийського ліцею №8 на вулиці Є.Коновальця,10 у місті Коломиї Івано-Франківської області</t>
  </si>
  <si>
    <t>Реконструкція шляхом комплексної термомодернізації будівлі Корницького ліцею Коломийської міської ради на вулиці Перемоги,14 у селі Корнич Коломийського району Івано-Франківської області</t>
  </si>
  <si>
    <t>Реконструкція шляхом комплексної термомодернізації будівлі Коломийського ліцею №5 імені Т.Г.Шевченка на проспекті Грушевського,64 в місті Коломиї Івано-Франківської області</t>
  </si>
  <si>
    <t>Реконструкція будівлі Коломийського ліцею №2 на вулиці М.Лисенка, 24 в місті Коломиї Івано-Франківської області</t>
  </si>
  <si>
    <t>Реконструкція майстерні (корпус В) Коломийської філії №10 Коломийського ліцею №9 по вул..Січових Стрільців, 30 в м.Коломиї Івано-Франківської області</t>
  </si>
  <si>
    <t>Реконструкція покрівлі та фасаду КНП "Коломийський ФПЦ" на вулиці Замковій, 74б у місті Коломиї Івано-Франківської області</t>
  </si>
  <si>
    <t>РАЗОМ по КПКВ 3117322</t>
  </si>
  <si>
    <t>"Будівництво медичних установ та закладів"</t>
  </si>
  <si>
    <t>"Будівництво споруд, установ та закладів фізичної культури і спорту"</t>
  </si>
  <si>
    <t>Нове будівництво спортивної споруди Елінгу на вулиці Івана Новодворського у місті Коломиї Івано - Франківської області</t>
  </si>
  <si>
    <t>Нове будівництво трибуни, огорожі та освітлення для фізичної культури і спорту у місті Коломия на вул. Гетьмана Івана Мазепи біля будинків 291-293</t>
  </si>
  <si>
    <t>Реконструкція стадіону "Юність" на вул. Петлюри у м. Коломиї Івано-Франківської області</t>
  </si>
  <si>
    <t xml:space="preserve"> "Будівництво інших об'єктів комунальної власності"</t>
  </si>
  <si>
    <t>Нове будівництво пам'ятника Василю Стефанику у сквері біля Коломийського ліцею № 1 ім. В. Стефаника у місті Коломиї Івано-Франківської області</t>
  </si>
  <si>
    <t>Реконструкція нежитлового приміщення на вулиці Січових Стрільців, 23/4 у місті Коломиї Івано-Франківської області</t>
  </si>
  <si>
    <t>Реконструкція нежитлової будівлі на проспекті М.Грушевського,1б у місті Коломиї Івано-Франківської області</t>
  </si>
  <si>
    <t>РАЗОМ по КПКВ 3117325</t>
  </si>
  <si>
    <t>РАЗОМ по КПКВ 3117321</t>
  </si>
  <si>
    <t>Нове будівництво водопроводу від буд.№21а до буд.№55 по вул.Шарлая в м.Коломиї</t>
  </si>
  <si>
    <t>Нове будівництво водопроводу по вул.Топоровського в м.Коломиї</t>
  </si>
  <si>
    <t>Нове будівництво водопроводу по вул. Павлюка, Дорошенка, Граничній в м.Коломиї</t>
  </si>
  <si>
    <t>Капітальний ремонт харчоблоку Коломийського ліцею №5 імені Т.Г.Шевченка на проспекті М.Грушевського,64 у місті Коломиї Івано-Франківської області</t>
  </si>
  <si>
    <t>Капітальний ремонт будівлі КНП "Коломийська центральна районна лікарня" Коломийської міської ради за адресою: місто Коломия, вулиця Родини Крушельницьких,26</t>
  </si>
  <si>
    <t>Капітальний ремонт будівлі КНП Коломийська ЦРЛ Коломийської міської ради , СП "Дитяча лікарня" за адресою: місто Коломия, вулиця Родини Крушельницьких,28</t>
  </si>
  <si>
    <t>Капітальний ремонт в приміщенні будинку культури на вулиці Перемоги,24 у селі Корнич Коломийського району Івано-Франківської області</t>
  </si>
  <si>
    <t>Капітальний ремонт нежитлової будівлі на вулиці С.Петлюри,85А в місті Коломиї</t>
  </si>
  <si>
    <t>Капітальний ремонт нежитлового приміщення на вулиці Лесі Українки, 37 у місті Коломиї Івано-Франківської області</t>
  </si>
  <si>
    <t>Капітальний ремонт в приміщенні адміністративного будинку на вулиці Центральній, 8а у селі Іванівці Коломийського району Івано-Франківської області</t>
  </si>
  <si>
    <t>Капітальний ремонт фасаду будівлі на вулиці Привокзальній,2 у місті Коломиї Івано-Франківської області</t>
  </si>
  <si>
    <t>Капітальний ремонт фасаду будівлі на вулиці Українській, 68Б у селі Саджавка Надвірнянського району Івано-Франківської області</t>
  </si>
  <si>
    <t>Капітальний ремонт нежитлового приміщення центру надання адміністративних послуг по площі Привокзальній, 2А/1 в місті Коломиї</t>
  </si>
  <si>
    <t>Капітальний ремонт горища будівлі на проспекті М.Грушевського,1 у місті Коломиї Івано-Франківської області</t>
  </si>
  <si>
    <t>Капітальний ремонт харчоблоку Коломийської філії №6 імені Героя України Тараса Сенюка Коломийського ліцею №9 на вулиці М.Леонтовича, 14 в місті Коломиї Івано-Франківської області</t>
  </si>
  <si>
    <t>Капітальний ремонт нежитлового приміщення на вулиці Січових Стрільців, 1 у місті Коломиї Івано-Франківської області</t>
  </si>
  <si>
    <t>Капітальний ремонт нежитлової будівлі на вулиці Шевченка, 65 у селі Грушів Коломийського району Івано-Франківської області</t>
  </si>
  <si>
    <t>Капітальний ремонт нежитлового приміщення на вулиці Театральній, 21А у місті Коломиї Івано-Франківської області</t>
  </si>
  <si>
    <t>Реконструкція площі Скорботи по вул. Січових Стрільців,1 в м. Коломия</t>
  </si>
  <si>
    <t>Реконструкція окремих елементів площі Відродження у місті Коломиї Івано-Франківської області</t>
  </si>
  <si>
    <t>в т.ч. за рахунок субвенції з обласного бюджету</t>
  </si>
  <si>
    <t>№02-64</t>
  </si>
  <si>
    <t>11.03.22р.</t>
  </si>
  <si>
    <t>ТОВ "Проект 98"</t>
  </si>
  <si>
    <t>№67 №351</t>
  </si>
  <si>
    <t>ПП Северин Н ФОП Попович І.М.</t>
  </si>
  <si>
    <t>№65, №26</t>
  </si>
  <si>
    <t>ТОВ ПРОЕКТ 98</t>
  </si>
  <si>
    <t>№09/73</t>
  </si>
  <si>
    <t>№70</t>
  </si>
  <si>
    <t>28.03.</t>
  </si>
  <si>
    <t>АТ Прикарпаттяобленерго, ПП"Северин-Н"</t>
  </si>
  <si>
    <t>№78</t>
  </si>
  <si>
    <t>№74</t>
  </si>
  <si>
    <t>ФОП Антонюк В.В.</t>
  </si>
  <si>
    <t>№76</t>
  </si>
  <si>
    <t>30/03/</t>
  </si>
  <si>
    <t>№03/79</t>
  </si>
  <si>
    <t>ФОП Антонюк В.М.</t>
  </si>
  <si>
    <t>План на квітень 2022</t>
  </si>
  <si>
    <t>Реконструкція спортивного комплексу на вул. Ольги Кобилянської, 8-А в м.Коломиї Івано-Франківської області</t>
  </si>
  <si>
    <t>Реконструкція будівлі під соціальний комплекс для вразливих категорій населення за адресою: місто Коломия, вулиця С.Петлюри, 24</t>
  </si>
  <si>
    <t>Нове будівництво водопроводу в с.Королівка Коломийської територіальної громади. Коригування</t>
  </si>
  <si>
    <t>АТ Прикарпаттяобленерго, ТОВ "ПРОМГАЗ СІТІ"</t>
  </si>
  <si>
    <t>2601609/5, №32</t>
  </si>
  <si>
    <t>13.01. 02.02.</t>
  </si>
  <si>
    <t>№71</t>
  </si>
  <si>
    <t>Виконання рішент суду - відшкодування правової допомоги</t>
  </si>
  <si>
    <t>16.1.</t>
  </si>
  <si>
    <t>16.2.</t>
  </si>
  <si>
    <t>16.3.</t>
  </si>
  <si>
    <t>16.4.</t>
  </si>
  <si>
    <t>16.5.</t>
  </si>
  <si>
    <t>16.6.</t>
  </si>
  <si>
    <t>16.7.</t>
  </si>
  <si>
    <t>Утримання притулку для безпритульних тварин</t>
  </si>
  <si>
    <t>в тому числі по КП "Коломияводоканал"</t>
  </si>
  <si>
    <t>Всього по УКГ</t>
  </si>
  <si>
    <t>Всього по одержувачах коштів</t>
  </si>
  <si>
    <t>ТОВ Кулев Інвест</t>
  </si>
  <si>
    <t>РАЗОМ по КПКВ 3117340</t>
  </si>
  <si>
    <t xml:space="preserve">Проектування, реставрація та охорона пам'яток архітектури </t>
  </si>
  <si>
    <t>Ремонтно-реставраційні роботи  системи опалення КЗ "Коломийська дитяча музична школа № 1 імені Анатолія Кос-Анатольського" на вул.Театральній,48 у м.Коломиї Івано-Франківській області (реставрація - будинок житловий-охоронний №582)</t>
  </si>
  <si>
    <t>План на травень 2022</t>
  </si>
  <si>
    <t>ПП Романюк Я.В</t>
  </si>
  <si>
    <t>Управління комунального господарства (внески до статутного капіталу для КП «Коломияводоканал»)</t>
  </si>
  <si>
    <t>Управління комунального господарства (внески до статутного капіталу для КП «Коломиятеплосервіс»</t>
  </si>
  <si>
    <t>№108, №107 №54</t>
  </si>
  <si>
    <t>ФОП Попович Н.Я., ФОП Попович Н.</t>
  </si>
  <si>
    <t>КП Коломияводоканал</t>
  </si>
  <si>
    <t>№112</t>
  </si>
  <si>
    <t>№109</t>
  </si>
  <si>
    <t xml:space="preserve"> КП «Коломиятеплосервіс»</t>
  </si>
  <si>
    <t>КП «Коломияводоканал»</t>
  </si>
  <si>
    <t>№ 114 д.уг №4/84</t>
  </si>
  <si>
    <t>ФОП Головчак Н.І. ФОП Овчар М.М.</t>
  </si>
  <si>
    <t>24.05.22р. 24.01.</t>
  </si>
  <si>
    <t>28915;  67865</t>
  </si>
  <si>
    <t>№96 д.уг №5/178</t>
  </si>
  <si>
    <t>02.05.22р 20.01.</t>
  </si>
  <si>
    <t xml:space="preserve">02.05.22р </t>
  </si>
  <si>
    <t>№96</t>
  </si>
  <si>
    <t>"Будівництво  установ та закладів соціальної сфери"</t>
  </si>
  <si>
    <t>Нове будівництво мостового переходу на автомобільній дорозі О090701 Корнич-Завалля км 2+814 через річку Прут в селі Корнич, Коломийського району, Івано - Франківської області</t>
  </si>
  <si>
    <t>Нове будівництво пішохідного переходу та лівосторонньої дамби укріплення берега через річку Прут від вулиці Лесі Українки до правого берега річки у селі Іванівці, Коломийського району, Івано - Франківської області</t>
  </si>
  <si>
    <t>РАЗОМ по КПКВ 3117310</t>
  </si>
  <si>
    <t>Нове будівництво соціального житла для внутрішньо переміщених осіб на вулиці Осипа Маковея у місті Коломиї, Івано - Франківської області</t>
  </si>
  <si>
    <t>"Будівництво об'єктів житлово-комунального господарства"</t>
  </si>
  <si>
    <t>РАЗОМ по КПКВ 3117330</t>
  </si>
  <si>
    <t>Встановлення та ремонт лавок**</t>
  </si>
  <si>
    <t>Встановлення урн для сміття**</t>
  </si>
  <si>
    <t>Догляд за озерами**</t>
  </si>
  <si>
    <t>**в тому числі за рахунок вільного залишку</t>
  </si>
  <si>
    <t>Ремонтно-реставраційні роботи приміщення МПК "Народний дім" за адресою: вул.Театральна, 27 у місті Коломиї Івано-Франківській області (охоронний номер 579)</t>
  </si>
  <si>
    <t>Ремонтно-реставраційні роботи будівлі Коломийського драматичного театру імені І.Озаркевича на площі Вічевий Майдан, 7 у місті Коломиї Івано-Франківській області (охоронний номер 555)</t>
  </si>
  <si>
    <t>КП "Зеленосвіт"</t>
  </si>
  <si>
    <t>№125</t>
  </si>
  <si>
    <t>ТОВ Єркопроектбуд</t>
  </si>
  <si>
    <t>№122</t>
  </si>
  <si>
    <t>№124</t>
  </si>
  <si>
    <t>17</t>
  </si>
  <si>
    <t>Розроблення технічної документації (схема організації дорожнього руху)</t>
  </si>
  <si>
    <t>Встановленн засобі обмеження руху автотранспорту**</t>
  </si>
  <si>
    <t>№97, №83, №127</t>
  </si>
  <si>
    <t>25.05.22р. 04.04.2022р 24.06.22р.</t>
  </si>
  <si>
    <t>№111, №128</t>
  </si>
  <si>
    <t>20.05. ,24.06.</t>
  </si>
  <si>
    <t>69000; 86000</t>
  </si>
  <si>
    <t xml:space="preserve"> касові</t>
  </si>
  <si>
    <t>План на липень 2022</t>
  </si>
  <si>
    <t>станом на 04.07.2022р.</t>
  </si>
  <si>
    <t>вільний залишок із світлофорів</t>
  </si>
  <si>
    <t>вільний залишок із розмітки</t>
  </si>
  <si>
    <t>Розроблення проектно-кошторисної та проектно -технічної документації з благоустрою</t>
  </si>
  <si>
    <t>Послгуи благоустрою території (ремонт міжквартальних проїздів в житлових мікрорайонах) в тому числі:</t>
  </si>
  <si>
    <t>Капітальний ремонт дорожнього і тротуарного покриття вул. Гетьманська в м. Коломиї. Коригування</t>
  </si>
  <si>
    <t>Капітальний ремонт дорожнього покриття вул. Маковея в м. Коломиї</t>
  </si>
  <si>
    <t>Послуги з благоустрою території (ремонт міжквартальних проїздів біля буд.№292,298,298А по вул. Мазепи в м.Коломиї)</t>
  </si>
  <si>
    <t>Послуги з благоустрою території (ремонт тротуарів ) в тому числі:</t>
  </si>
  <si>
    <t>Послуги з благоустрою території (ремонт тротуарів від будинку№2 до будинку №52 вул. Чайковського в м.Коломиї)</t>
  </si>
  <si>
    <t>Послуги з благоустрою території (ремонт тротуарів по вул. Валовій від буд. №48 до вул.Мазепи в м.Коломиї)</t>
  </si>
  <si>
    <t>Послуги з благоустрою території (ремонт тротуарів по вул. Довбуша від будинку №27 до вул. Котляревського в м.Коломиї )</t>
  </si>
  <si>
    <t>Послуги з благоустрою території (ремонт тротуарів  біля  будинку №44 по вул. Бандери в м. Коломиї)</t>
  </si>
  <si>
    <t>Послуги з благоустрою території (ремонт тротуарів  біля будинку №41 по вул. Січових Стрільців в м. Коломиї)</t>
  </si>
  <si>
    <t>Послуги з благоустрою території (ремонт міжквартальних проїздів між буд. №7,8,9,10,11,13 на пл.Привокзальній в м.Коломиї)</t>
  </si>
  <si>
    <t>Послуги з благоустрою території (ремонт міжквартальних проїздів між буд. №1,3,5,7 по вулиці Бандери в м.Коломиї)</t>
  </si>
  <si>
    <t>Послуги з благоустрою території (ремонт міжквартальних проїздів по вулиці Петлюри,74 в м.Коломиї)</t>
  </si>
  <si>
    <t>Послуги з благоустрою території (ремонт міжквартальних проїздів по вулиці Куліша 5,7  в м.Коломиї)</t>
  </si>
  <si>
    <t>Послуги з благоустрою території (ремонт міжквартальних проїздів між буд. №16,20,22,26 по вул.Лисенка в м.Коломиї)</t>
  </si>
  <si>
    <t>Послуги з благоустрою території (ремонт тротуарів   по вул. Маковея в м. Коломиї)</t>
  </si>
  <si>
    <t>Послуги з благоустрою території (ремонт тротуарів  по вул. Вільде в м. Коломиї)</t>
  </si>
  <si>
    <t>Послуги з благоустрою (благоустрій площі перед будівлею Музею писанкового розпису на вулиці Чорновола,43 у м. Коломиї)</t>
  </si>
  <si>
    <t>Послуги з благоустрою території (ремонт міжквартальних проїздів між буд. №,22,26 по вул.Яворницького в м.Коломиї)</t>
  </si>
  <si>
    <t>Послуги з благоустрою території (ремонт тротуарів  по Українській в м. Коломиї)</t>
  </si>
  <si>
    <t>Послуги з благоустрою території (ремонт міжквартальних проїздів біля буд. №26,28,30 по вул.Богуна в м.Коломиї)</t>
  </si>
  <si>
    <t>Послуги з благоустрою території (ремонт міжквартальних проїздів вздовж буд. №34,42 по вул.Богуна в м.Коломиї)</t>
  </si>
  <si>
    <t>Послуги з благоустрою території (ремонт міжквартальних проїздів між буд. №44,54-56 по вулиці Чайковського в м.Коломиї)</t>
  </si>
  <si>
    <t>Послуги з благоустрою території (ремонт міжквартальних проїздів  по вулиці Мазепи ,236 в м.Коломиї)</t>
  </si>
  <si>
    <t>Послуги з благоустрою території (ремонт міжквартальних проїздів  по вулиці Лисенка ,3 в м.Коломиї)</t>
  </si>
  <si>
    <t>Послуги з благоустрою території (ремонт міжквартальних проїздів  по вулиці Заньковецької ,12 в м.Коломиї)</t>
  </si>
  <si>
    <t>Послуги з благоустрою території (ремонт тротуарів  по вул.Мазепи,272 в м. Коломиї)</t>
  </si>
  <si>
    <t>Послуги з благоустрою території (ремонт міжквартальних проїздів біля буд. №34,36,40  по вул. Богуна та біля буд.№16 а по вулиці Стефаника  в м.Коломиї)</t>
  </si>
  <si>
    <t>Послуги з благоустрою території (ремонт тротуарів біля будинку № 298Б по вул. Мазепи в м.Коломиї)</t>
  </si>
  <si>
    <t>Послуги з благоустрою території (ремонт тротуарів від вул.Драгоманова до вул. Чорновола в м.Коломиї)</t>
  </si>
  <si>
    <t>Послуги з благоустрою території (ремонт тротуарів по вулиці Грушевського від вул. Криничної до вул. гетьманської в м.Коломиї)</t>
  </si>
  <si>
    <t>Капітальний ремонт дорожнього покриття вул.Едельвейсів  в місті Коломиї</t>
  </si>
  <si>
    <t>Послуги з благоустрою території (ремонт тротуарів пор вул. Мазепи від. вул.Бандери до межі міста Коломия )</t>
  </si>
  <si>
    <r>
      <t>Нове будівництво шляхопроводу від вул. Січових Стрільців до вул.Косачівської в м.Коломиї*</t>
    </r>
    <r>
      <rPr>
        <b/>
        <sz val="9"/>
        <color rgb="FFFFFF00"/>
        <rFont val="Times New Roman"/>
        <family val="1"/>
        <charset val="204"/>
      </rPr>
      <t>(вільний залишок 120000,00)</t>
    </r>
  </si>
  <si>
    <t xml:space="preserve">Послуги з благоустрою території (ремонт тротуарів по вул.Довженка  в м.Коломиї)    </t>
  </si>
  <si>
    <t>Послуги з благоустрою території (ремонт тротуарів біля памятника сотенному УПА "Спартану "в с.Іванівці )</t>
  </si>
  <si>
    <t>Послуги з благоустрою території(ремонт тротуарів по вул.Франка від вул. Павлика до вул.Моцарта в м.Коломиї )</t>
  </si>
  <si>
    <t>Капітальний ремонт дорожнього покриття бульвару Лесі Українки в місті Коломиї</t>
  </si>
  <si>
    <t>Капітальний ремонт території Корницької філії Коломийського ліцею №1 імені В.Стефаника по вул. Перемоги,14 с.Корнич</t>
  </si>
  <si>
    <t>Капітальний ремонт території філії №3 Коломийського ліцею №4 імені Сергія Лисенка по вуд. Мазепи,132 а в м.Коломиї</t>
  </si>
  <si>
    <t>Капітальний ремонт території Коломийської гімназії №7 філії Коломийського ліцею №5 імені Т.Шевченка по вул. Карпатська ,74 в м.Коломиї</t>
  </si>
  <si>
    <t>Капітальний ремонт території Коломийського ліцею №5 імені Т. Шевченка по пр. Грушевського ,64 в м.Коломиї</t>
  </si>
  <si>
    <t>Капітальний ремонт території Коломийського закладу дошкільної освіти ( ясла-садок) комбінованого типу №2 "Дударик" по вул. Сніжній ,11 в м.Коломиї</t>
  </si>
  <si>
    <t>Капітальний ремонт території Коломийського закладу дошкільної освіти ( ясла-садок)  №3 "Берізка" по вул.Г Ковцуняка ,1в у м.Коломиї</t>
  </si>
  <si>
    <t>Капітальний ремонт території Коломийського закладу дошкільної освіти ( ясла-садок)  №7 "Росинка" по вул.Яворницького,9 в м.Коломиї</t>
  </si>
  <si>
    <t>Капітальний ремонт території Коломийського закладу дошкільної освіти ( ясла-садок)  №14 "Світанок" по вул.Лисенка,9 в м.Коломиї</t>
  </si>
  <si>
    <t>Капітальний ремонт вул.Опришківської в м.Коломиї</t>
  </si>
  <si>
    <t>Капітальний ремонт вул.Сонячної в м.Коломиї</t>
  </si>
  <si>
    <t>Капітальний ремонт вул. Мартовича в м.Коломиї</t>
  </si>
  <si>
    <t>Капітальний ремонт вул.Черемшини в м.Коломиї</t>
  </si>
  <si>
    <t>Капітальний ремонт вул.Братів Білоусів в м.Коломиї</t>
  </si>
  <si>
    <t>Капітальний ремонт вул.Грушевського від будинку №76 до будинку №78  в м.Коломиї</t>
  </si>
  <si>
    <t>Капітальний ремонт вул.Онищука від вул.Довбуша до Коломийського закладу дошкільної освіти ( ясла-садок) №16 "Орлятко" в м.Коломиї</t>
  </si>
  <si>
    <t>Капітальний ремонт вул.Квіткової в м.Коломиї</t>
  </si>
  <si>
    <t>Капітальний ремонт вул.Цегельняної в м.Коломиї</t>
  </si>
  <si>
    <t>Капітальний ремонт вул.Пстрака в в м.Коломиї</t>
  </si>
  <si>
    <t>Капітальний ремонт вул.Нагірного в м.Коломиї</t>
  </si>
  <si>
    <t>Капітальний ремонт вул.Оренштайна в м.Коломиї</t>
  </si>
  <si>
    <t>Капітальний ремонт вул.Галицької в м.Коломиї</t>
  </si>
  <si>
    <t>Капітальний ремонт вул.Кривоноса в м.Коломиї</t>
  </si>
  <si>
    <t>Капітальний ремонт вул.Лісової в м.Коломиї</t>
  </si>
  <si>
    <t>Капітальний ремонт вул. Слобідської в м.Коломиї</t>
  </si>
  <si>
    <t>Капітальний ремонт вул.Січневої в м.Коломиї</t>
  </si>
  <si>
    <t>Капітальний ремонт вул.Огієнка в м.Коломиї</t>
  </si>
  <si>
    <t>Капітальний ремонт вул. Лотоцького  в м.Коломиї</t>
  </si>
  <si>
    <t>Послуги з благоустрою території (ремонт міжквартальних  проїздів по  вул. Коновальця,19  в м.Коломиї)</t>
  </si>
  <si>
    <t>Послуги з благоустрою території (ремонт міжквартальних  проїздів  біля буд. №9,11,13 по вулиці Бандери  в м.Коломиї)</t>
  </si>
  <si>
    <t xml:space="preserve">Послуги з благоустрою території (ремонт тротуарних доріжок в парку ім. Т. Шевченка (Алея "Добровольців")  в м.Коломиї)    </t>
  </si>
  <si>
    <t>Послуги з благоустрою території (ремонт міжквартальних  проїздів біля буд. №27, 29  по вулиці Січових стрільців та біля  буд. №2  по вулиці Лисенка  в м.Коломиї)</t>
  </si>
  <si>
    <t xml:space="preserve"> </t>
  </si>
  <si>
    <t xml:space="preserve">Послуги з благоустрою території (ремонт тротуарів по вул.Замкова  в м.Коломиї)    </t>
  </si>
  <si>
    <t>Послуги з благоустрою території ( впорядкування озера в парку ім.Т.Шевченка в м.Коломиї)</t>
  </si>
  <si>
    <t xml:space="preserve">Послуги з благоустрою території (ремонт тротуарів  по вул. Петлюри від вул.Аеропортної до вул. Вахнянина в м. Коломиї) </t>
  </si>
  <si>
    <t>станом на 01.01.2024р.</t>
  </si>
  <si>
    <t xml:space="preserve">Послуги з благоустрою території (ремонт міжквартальних проїздів по вулиці С.Стрільців, 33м.Коломиї)                  </t>
  </si>
  <si>
    <t>Послуги з благоустрою території (ремонт міжквартальних проїздів біля буд.№10,12,14,16 по вулиці Богуна в м.Коломиї)</t>
  </si>
  <si>
    <t>Послуги з благоустрою території (ремонт міжквартальних проїздів біля буд.№248,250,262 по вулиці Мазепи в м.Коломиї)</t>
  </si>
  <si>
    <t>Послуги з благоустрою території (ремонт міжквартальних  проїздів по  вул. Чайковського,52  в м.Коломиї)</t>
  </si>
  <si>
    <t>Послуги з благоустрою території (ремонт тротуарів по вул. Шухевича в м.Коломиї)</t>
  </si>
  <si>
    <t>Послуги з благоустрою території (ремонт тротуарів  по вул. Нагірного в м. Коломиї)</t>
  </si>
  <si>
    <t>Послуги з благоустрою території (ремонт тротуарів  по вул. Франка від вул. Моцарта до вул Достоєвського в м. Коломиї)</t>
  </si>
  <si>
    <t xml:space="preserve">Послуги з благоустрою території (ремонт тротуарів  по вулиці Оренштайна в м. Коломиї)                                </t>
  </si>
  <si>
    <t xml:space="preserve">Послуги з благоустрою території (ремонт тротуарів біля будинку № 274 по вул. Мазепи  в м.Коломиї)                                    </t>
  </si>
  <si>
    <t xml:space="preserve">Капітальний ремонт дорожнього покриття вул.Старицького в м.Коломиї Івано-Франківської області </t>
  </si>
  <si>
    <t xml:space="preserve">Капітальний ремонт вул.Русина в м.Коломиї </t>
  </si>
  <si>
    <t xml:space="preserve">Капітальний ремонт дорожнього покриття вул.Й.Сліпого в м.Коломиї  </t>
  </si>
  <si>
    <t xml:space="preserve">Капітальний ремонт вул.Косачівської в м.Коломиї  </t>
  </si>
  <si>
    <t xml:space="preserve">Капітальний ремонт вул.І.Шарлая в м.Коломиї </t>
  </si>
  <si>
    <t xml:space="preserve">Капітальний ремонт дорожнього покриття від будинку № 391 по вул.Довбуша до автомобільної дороги загального користування Н-10 Стрий - Івано-Франківськ - Чернівці - Мамалига* </t>
  </si>
  <si>
    <t>Капітальний ремонт дорожнього покриття від будинку №3Г по вул.Старицького до вул.Міцкевича в м.Коломиї*</t>
  </si>
  <si>
    <t>Капітальний ремонт вул.Харкевича в м.Коломиї</t>
  </si>
  <si>
    <t>Нове будівництво пішохідного мостового  переходу  через річку Прут від вулиці Лесі Українки до правого берега річки у селі Іванівці, Коломийського району, Івано - Франківської області *</t>
  </si>
  <si>
    <t>Нове будівництво мостового переходу на автомобільній дорозі О090701 Корнич-Завалля км 2+814 через річку Прут в селі Корнич, Коломийського району, Івано - Франківської області*</t>
  </si>
  <si>
    <t xml:space="preserve">Профінансовано </t>
  </si>
  <si>
    <t xml:space="preserve">Видатки по КПКВК 3116030 "Організаця благоустрою населених пунктів" станом на 2023 рік (фонд розвитку) </t>
  </si>
  <si>
    <t>Видатки по КПКВК 3117310 "Будівництво об'єктів житлово-комунального господарства"</t>
  </si>
  <si>
    <t>Видатки по КПКВК 3116030 "Організаця благоустрою населених пунктів" станом на 2023 рік</t>
  </si>
  <si>
    <t>Титульні списки на проведення капітального та поточного ремонту, будівництва, реконструкції та благоустрою</t>
  </si>
  <si>
    <t>Капітальний ремонт вул. Гонти в м.Коломиї</t>
  </si>
  <si>
    <t>Капітальний ремонт вул. Рильського від вул. Січинського до вул. Сосюри в м.Коломиї</t>
  </si>
  <si>
    <t xml:space="preserve">Капітальний ремонт вул.Короткої в м.Коломиї </t>
  </si>
  <si>
    <r>
      <t>Послуги з благоустрою території (ремонт міжквартальних проїздів між буд. №18 та буд. №20  по вулиці Богуна м.Коломиї)</t>
    </r>
    <r>
      <rPr>
        <b/>
        <sz val="11"/>
        <color rgb="FFFF0000"/>
        <rFont val="Times New Roman"/>
        <family val="1"/>
        <charset val="204"/>
      </rPr>
      <t xml:space="preserve"> </t>
    </r>
  </si>
  <si>
    <r>
      <t>Послуги з благоустрою території (ремонт тротуарів  по вул. Староміській в м. Коломиї)</t>
    </r>
    <r>
      <rPr>
        <b/>
        <sz val="11"/>
        <color rgb="FFFF0000"/>
        <rFont val="Times New Roman"/>
        <family val="1"/>
        <charset val="204"/>
      </rPr>
      <t xml:space="preserve"> </t>
    </r>
  </si>
  <si>
    <r>
      <t>Капітальний ремонт вул. Кобилянської в м. Коломиї. Коригування</t>
    </r>
    <r>
      <rPr>
        <sz val="11"/>
        <color rgb="FFFFFF00"/>
        <rFont val="Times New Roman"/>
        <family val="1"/>
        <charset val="204"/>
      </rPr>
      <t xml:space="preserve"> </t>
    </r>
  </si>
  <si>
    <r>
      <t xml:space="preserve">Капітальний ремонт вул. Шипайла  в м.Коломиї </t>
    </r>
    <r>
      <rPr>
        <sz val="11"/>
        <color rgb="FFFFFF00"/>
        <rFont val="Times New Roman"/>
        <family val="1"/>
        <charset val="204"/>
      </rPr>
      <t xml:space="preserve"> </t>
    </r>
  </si>
  <si>
    <r>
      <t xml:space="preserve">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с.Грушів* </t>
    </r>
    <r>
      <rPr>
        <sz val="11"/>
        <color rgb="FFFFFF00"/>
        <rFont val="Times New Roman"/>
        <family val="1"/>
        <charset val="204"/>
      </rPr>
      <t>(за рахунок коштів вільного залишку-100000,00)</t>
    </r>
  </si>
  <si>
    <t>Поточний ремонт дорожнього покриття, в тому числі міжквартальні проїзди</t>
  </si>
  <si>
    <t xml:space="preserve">Назва об'єкта </t>
  </si>
  <si>
    <t>Капітальний ремонт проїзду до озера в парку ім.Т.Шевченка  в м. Коломиї</t>
  </si>
  <si>
    <t>Капітальний ремонт пішохідних доріжок біля озера в парку ім. Т. Шевченка в м. Коломиї</t>
  </si>
  <si>
    <t>Управління комунального господарства Коломийської міської ради
код за ЄДРПОУ                                                                                                                               31692820
код Програмної класифікації видатків та кредитування місцевого бюджет                                             3116030
код бюджету                                                                                                                              09530000000
найменування бюджетної програми                                                 Організація благоустрою населених пунктів</t>
  </si>
  <si>
    <t>код за ЄДРПОУ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</si>
</sst>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₴"/>
    <numFmt numFmtId="165" formatCode="#,##0.0"/>
  </numFmts>
  <fonts count="9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Arial Cyr"/>
    </font>
    <font>
      <b/>
      <sz val="8"/>
      <color rgb="FF00000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000000"/>
      <name val="Arial Cyr"/>
    </font>
    <font>
      <b/>
      <sz val="9"/>
      <color rgb="FFFF0000"/>
      <name val="Arial Cyr"/>
    </font>
    <font>
      <b/>
      <i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9"/>
      <color rgb="FF000000"/>
      <name val="Arial Cyr"/>
    </font>
    <font>
      <b/>
      <sz val="12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0"/>
      <color rgb="FF000000"/>
      <name val="Arial Cyr"/>
    </font>
    <font>
      <b/>
      <i/>
      <sz val="10"/>
      <color rgb="FF000000"/>
      <name val="Times New Roman Cyr"/>
    </font>
    <font>
      <b/>
      <i/>
      <sz val="11"/>
      <color rgb="FF000000"/>
      <name val="Times New Roman Cyr"/>
    </font>
    <font>
      <sz val="10"/>
      <color rgb="FF000000"/>
      <name val="Calibri"/>
      <family val="2"/>
      <charset val="204"/>
      <scheme val="minor"/>
    </font>
    <font>
      <b/>
      <i/>
      <sz val="8"/>
      <color rgb="FF000000"/>
      <name val="Times New Roman Cyr"/>
    </font>
    <font>
      <b/>
      <sz val="11"/>
      <color rgb="FF000000"/>
      <name val="Times New Roman Cyr"/>
    </font>
    <font>
      <sz val="11"/>
      <color rgb="FF000000"/>
      <name val="Times New Roman Cyr"/>
    </font>
    <font>
      <b/>
      <sz val="11"/>
      <color theme="1"/>
      <name val="Calibri"/>
      <family val="2"/>
      <charset val="204"/>
      <scheme val="minor"/>
    </font>
    <font>
      <b/>
      <sz val="9"/>
      <color indexed="10"/>
      <name val="Times New Roman"/>
      <family val="1"/>
      <charset val="204"/>
    </font>
    <font>
      <sz val="11"/>
      <name val="Calibri"/>
      <family val="2"/>
      <scheme val="minor"/>
    </font>
    <font>
      <sz val="8.5"/>
      <color rgb="FF00000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9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b/>
      <i/>
      <sz val="13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C00000"/>
      <name val="Calibri"/>
      <family val="2"/>
      <scheme val="minor"/>
    </font>
    <font>
      <i/>
      <sz val="8.5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trike/>
      <sz val="9"/>
      <color indexed="81"/>
      <name val="Tahoma"/>
      <family val="2"/>
      <charset val="204"/>
    </font>
    <font>
      <sz val="8.5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7" tint="-0.249977111117893"/>
      <name val="Times New Roman"/>
      <family val="1"/>
      <charset val="204"/>
    </font>
    <font>
      <i/>
      <sz val="11"/>
      <color theme="7" tint="-0.249977111117893"/>
      <name val="Times New Roman"/>
      <family val="1"/>
      <charset val="204"/>
    </font>
    <font>
      <i/>
      <sz val="11"/>
      <color theme="5" tint="-0.249977111117893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i/>
      <sz val="10.5"/>
      <color theme="1"/>
      <name val="Times New Roman"/>
      <family val="1"/>
      <charset val="204"/>
    </font>
    <font>
      <b/>
      <i/>
      <sz val="10.5"/>
      <name val="Times New Roman"/>
      <family val="1"/>
      <charset val="204"/>
    </font>
    <font>
      <strike/>
      <sz val="8"/>
      <color indexed="81"/>
      <name val="Tahoma"/>
      <family val="2"/>
      <charset val="204"/>
    </font>
    <font>
      <i/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i/>
      <sz val="1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name val="Arial Cyr"/>
      <charset val="204"/>
    </font>
    <font>
      <sz val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FFFF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rgb="FF000000"/>
      <name val="Calibri"/>
      <family val="2"/>
      <charset val="204"/>
      <scheme val="minor"/>
    </font>
    <font>
      <b/>
      <sz val="8"/>
      <color rgb="FF000000"/>
      <name val="Arial Cyr"/>
      <charset val="204"/>
    </font>
    <font>
      <sz val="8"/>
      <color theme="1"/>
      <name val="Calibri"/>
      <family val="2"/>
      <charset val="204"/>
      <scheme val="minor"/>
    </font>
    <font>
      <sz val="9"/>
      <color indexed="10"/>
      <name val="Times New Roman"/>
      <family val="1"/>
      <charset val="204"/>
    </font>
    <font>
      <b/>
      <sz val="10"/>
      <color rgb="FF000000"/>
      <name val="Arial Cyr"/>
    </font>
    <font>
      <b/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FF00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5B7B6"/>
        <bgColor indexed="64"/>
      </patternFill>
    </fill>
    <fill>
      <patternFill patternType="solid">
        <fgColor rgb="FFB6DDE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E4069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thick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ck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thin">
        <color indexed="64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44" fillId="0" borderId="0" applyNumberFormat="0" applyFont="0" applyFill="0" applyBorder="0" applyAlignment="0" applyProtection="0">
      <alignment vertical="top"/>
    </xf>
    <xf numFmtId="0" fontId="63" fillId="0" borderId="0"/>
    <xf numFmtId="0" fontId="4" fillId="0" borderId="0"/>
    <xf numFmtId="0" fontId="44" fillId="0" borderId="0"/>
    <xf numFmtId="0" fontId="3" fillId="0" borderId="0"/>
    <xf numFmtId="0" fontId="44" fillId="0" borderId="0" applyNumberFormat="0" applyFont="0" applyFill="0" applyBorder="0" applyAlignment="0" applyProtection="0">
      <alignment vertical="top"/>
    </xf>
    <xf numFmtId="0" fontId="3" fillId="0" borderId="0"/>
  </cellStyleXfs>
  <cellXfs count="504">
    <xf numFmtId="0" fontId="0" fillId="0" borderId="0" xfId="0"/>
    <xf numFmtId="49" fontId="4" fillId="0" borderId="0" xfId="0" applyNumberFormat="1" applyFont="1"/>
    <xf numFmtId="0" fontId="4" fillId="0" borderId="0" xfId="0" applyFont="1"/>
    <xf numFmtId="49" fontId="6" fillId="3" borderId="2" xfId="0" applyNumberFormat="1" applyFont="1" applyFill="1" applyBorder="1" applyAlignment="1">
      <alignment horizontal="justify" vertical="top" wrapText="1"/>
    </xf>
    <xf numFmtId="0" fontId="6" fillId="3" borderId="2" xfId="0" applyFont="1" applyFill="1" applyBorder="1" applyAlignment="1">
      <alignment horizontal="justify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9" fillId="0" borderId="7" xfId="0" applyFont="1" applyBorder="1"/>
    <xf numFmtId="0" fontId="10" fillId="2" borderId="8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justify" vertical="top" wrapText="1"/>
    </xf>
    <xf numFmtId="0" fontId="11" fillId="4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49" fontId="10" fillId="9" borderId="10" xfId="0" applyNumberFormat="1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49" fontId="10" fillId="5" borderId="0" xfId="0" applyNumberFormat="1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4" fontId="15" fillId="5" borderId="14" xfId="0" applyNumberFormat="1" applyFont="1" applyFill="1" applyBorder="1" applyAlignment="1">
      <alignment horizontal="right" vertical="center" shrinkToFit="1"/>
    </xf>
    <xf numFmtId="4" fontId="16" fillId="2" borderId="15" xfId="0" applyNumberFormat="1" applyFont="1" applyFill="1" applyBorder="1" applyAlignment="1">
      <alignment horizontal="center" vertical="center"/>
    </xf>
    <xf numFmtId="4" fontId="17" fillId="5" borderId="14" xfId="0" applyNumberFormat="1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/>
    </xf>
    <xf numFmtId="4" fontId="10" fillId="2" borderId="14" xfId="0" applyNumberFormat="1" applyFont="1" applyFill="1" applyBorder="1" applyAlignment="1">
      <alignment horizontal="center" vertical="center"/>
    </xf>
    <xf numFmtId="0" fontId="0" fillId="5" borderId="0" xfId="0" applyFill="1"/>
    <xf numFmtId="0" fontId="18" fillId="2" borderId="1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vertical="center" wrapText="1"/>
    </xf>
    <xf numFmtId="0" fontId="21" fillId="2" borderId="15" xfId="0" applyFont="1" applyFill="1" applyBorder="1" applyAlignment="1">
      <alignment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vertical="center"/>
    </xf>
    <xf numFmtId="0" fontId="22" fillId="2" borderId="15" xfId="0" applyFont="1" applyFill="1" applyBorder="1" applyAlignment="1">
      <alignment vertical="center" wrapText="1"/>
    </xf>
    <xf numFmtId="0" fontId="23" fillId="2" borderId="15" xfId="0" applyFont="1" applyFill="1" applyBorder="1" applyAlignment="1">
      <alignment vertical="center" wrapText="1"/>
    </xf>
    <xf numFmtId="0" fontId="20" fillId="2" borderId="15" xfId="0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4" fontId="26" fillId="10" borderId="16" xfId="0" applyNumberFormat="1" applyFont="1" applyFill="1" applyBorder="1" applyAlignment="1">
      <alignment vertical="center" wrapText="1"/>
    </xf>
    <xf numFmtId="0" fontId="27" fillId="2" borderId="15" xfId="0" applyFont="1" applyFill="1" applyBorder="1" applyAlignment="1">
      <alignment vertical="center"/>
    </xf>
    <xf numFmtId="0" fontId="10" fillId="2" borderId="15" xfId="0" applyFont="1" applyFill="1" applyBorder="1" applyAlignment="1">
      <alignment horizontal="left" vertical="center" wrapText="1"/>
    </xf>
    <xf numFmtId="0" fontId="27" fillId="2" borderId="15" xfId="0" applyFont="1" applyFill="1" applyBorder="1" applyAlignment="1">
      <alignment horizontal="right" vertical="center"/>
    </xf>
    <xf numFmtId="4" fontId="23" fillId="2" borderId="15" xfId="0" applyNumberFormat="1" applyFont="1" applyFill="1" applyBorder="1" applyAlignment="1">
      <alignment vertical="center"/>
    </xf>
    <xf numFmtId="4" fontId="19" fillId="2" borderId="15" xfId="0" applyNumberFormat="1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vertical="center" wrapText="1"/>
    </xf>
    <xf numFmtId="4" fontId="19" fillId="2" borderId="15" xfId="0" applyNumberFormat="1" applyFont="1" applyFill="1" applyBorder="1" applyAlignment="1">
      <alignment vertical="center"/>
    </xf>
    <xf numFmtId="0" fontId="23" fillId="2" borderId="15" xfId="0" applyFont="1" applyFill="1" applyBorder="1" applyAlignment="1">
      <alignment vertical="center"/>
    </xf>
    <xf numFmtId="0" fontId="27" fillId="2" borderId="15" xfId="0" applyFont="1" applyFill="1" applyBorder="1" applyAlignment="1">
      <alignment horizontal="center" vertical="center" wrapText="1"/>
    </xf>
    <xf numFmtId="0" fontId="0" fillId="0" borderId="14" xfId="0" applyBorder="1"/>
    <xf numFmtId="0" fontId="32" fillId="0" borderId="15" xfId="0" applyFont="1" applyBorder="1"/>
    <xf numFmtId="0" fontId="33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/>
    </xf>
    <xf numFmtId="4" fontId="34" fillId="0" borderId="15" xfId="0" applyNumberFormat="1" applyFont="1" applyBorder="1" applyAlignment="1">
      <alignment horizontal="center" vertical="center"/>
    </xf>
    <xf numFmtId="4" fontId="0" fillId="5" borderId="0" xfId="0" applyNumberFormat="1" applyFill="1"/>
    <xf numFmtId="0" fontId="6" fillId="2" borderId="15" xfId="0" applyFont="1" applyFill="1" applyBorder="1" applyAlignment="1">
      <alignment vertical="center" wrapText="1"/>
    </xf>
    <xf numFmtId="0" fontId="6" fillId="0" borderId="15" xfId="0" applyFont="1" applyBorder="1" applyAlignment="1">
      <alignment horizontal="left" vertical="center" wrapText="1"/>
    </xf>
    <xf numFmtId="49" fontId="19" fillId="0" borderId="15" xfId="0" applyNumberFormat="1" applyFont="1" applyBorder="1" applyAlignment="1">
      <alignment horizontal="center" vertical="center"/>
    </xf>
    <xf numFmtId="49" fontId="0" fillId="0" borderId="0" xfId="0" applyNumberFormat="1"/>
    <xf numFmtId="0" fontId="36" fillId="0" borderId="15" xfId="0" applyFont="1" applyBorder="1" applyAlignment="1">
      <alignment horizontal="left" vertical="center" wrapText="1"/>
    </xf>
    <xf numFmtId="0" fontId="37" fillId="0" borderId="15" xfId="0" applyFont="1" applyBorder="1" applyAlignment="1">
      <alignment horizontal="center" vertical="center"/>
    </xf>
    <xf numFmtId="0" fontId="38" fillId="0" borderId="15" xfId="0" applyFont="1" applyBorder="1" applyAlignment="1">
      <alignment horizontal="right" vertical="center"/>
    </xf>
    <xf numFmtId="0" fontId="39" fillId="0" borderId="14" xfId="0" applyFont="1" applyBorder="1"/>
    <xf numFmtId="0" fontId="5" fillId="5" borderId="14" xfId="0" applyFont="1" applyFill="1" applyBorder="1" applyAlignment="1">
      <alignment horizontal="center" vertical="center"/>
    </xf>
    <xf numFmtId="0" fontId="40" fillId="11" borderId="20" xfId="0" applyFont="1" applyFill="1" applyBorder="1" applyAlignment="1">
      <alignment vertical="center" wrapText="1"/>
    </xf>
    <xf numFmtId="164" fontId="40" fillId="11" borderId="20" xfId="0" applyNumberFormat="1" applyFont="1" applyFill="1" applyBorder="1" applyAlignment="1">
      <alignment vertical="center" wrapText="1"/>
    </xf>
    <xf numFmtId="0" fontId="35" fillId="0" borderId="15" xfId="0" applyFont="1" applyBorder="1"/>
    <xf numFmtId="0" fontId="33" fillId="0" borderId="15" xfId="0" applyFont="1" applyBorder="1" applyAlignment="1">
      <alignment horizontal="right" wrapText="1"/>
    </xf>
    <xf numFmtId="0" fontId="8" fillId="3" borderId="2" xfId="0" applyFont="1" applyFill="1" applyBorder="1" applyAlignment="1">
      <alignment horizontal="justify" vertical="top" wrapText="1"/>
    </xf>
    <xf numFmtId="0" fontId="22" fillId="0" borderId="15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42" fillId="2" borderId="15" xfId="0" applyFont="1" applyFill="1" applyBorder="1" applyAlignment="1">
      <alignment horizontal="left" vertical="center" wrapText="1"/>
    </xf>
    <xf numFmtId="0" fontId="19" fillId="0" borderId="15" xfId="0" applyFont="1" applyBorder="1" applyAlignment="1">
      <alignment horizontal="center" vertical="center"/>
    </xf>
    <xf numFmtId="4" fontId="19" fillId="0" borderId="15" xfId="0" applyNumberFormat="1" applyFont="1" applyBorder="1" applyAlignment="1">
      <alignment horizontal="center" vertical="center"/>
    </xf>
    <xf numFmtId="4" fontId="40" fillId="11" borderId="20" xfId="0" applyNumberFormat="1" applyFont="1" applyFill="1" applyBorder="1" applyAlignment="1">
      <alignment vertical="center" wrapText="1"/>
    </xf>
    <xf numFmtId="4" fontId="33" fillId="0" borderId="15" xfId="0" applyNumberFormat="1" applyFont="1" applyBorder="1" applyAlignment="1">
      <alignment horizontal="center" vertical="center"/>
    </xf>
    <xf numFmtId="0" fontId="19" fillId="2" borderId="15" xfId="0" applyFont="1" applyFill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4" fontId="22" fillId="2" borderId="15" xfId="0" applyNumberFormat="1" applyFont="1" applyFill="1" applyBorder="1" applyAlignment="1">
      <alignment vertical="center"/>
    </xf>
    <xf numFmtId="0" fontId="22" fillId="2" borderId="15" xfId="0" applyFont="1" applyFill="1" applyBorder="1" applyAlignment="1">
      <alignment vertical="center"/>
    </xf>
    <xf numFmtId="0" fontId="25" fillId="2" borderId="15" xfId="0" applyFont="1" applyFill="1" applyBorder="1" applyAlignment="1">
      <alignment horizontal="left" vertical="center" wrapText="1"/>
    </xf>
    <xf numFmtId="0" fontId="23" fillId="0" borderId="15" xfId="0" applyFont="1" applyBorder="1" applyAlignment="1">
      <alignment vertical="center"/>
    </xf>
    <xf numFmtId="0" fontId="27" fillId="0" borderId="15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left" vertical="center"/>
    </xf>
    <xf numFmtId="4" fontId="43" fillId="0" borderId="32" xfId="0" applyNumberFormat="1" applyFont="1" applyBorder="1" applyAlignment="1">
      <alignment horizontal="center" vertical="center"/>
    </xf>
    <xf numFmtId="0" fontId="40" fillId="11" borderId="21" xfId="0" applyFont="1" applyFill="1" applyBorder="1" applyAlignment="1">
      <alignment vertical="center" wrapText="1"/>
    </xf>
    <xf numFmtId="14" fontId="0" fillId="0" borderId="0" xfId="0" applyNumberFormat="1"/>
    <xf numFmtId="4" fontId="0" fillId="0" borderId="0" xfId="0" applyNumberFormat="1"/>
    <xf numFmtId="0" fontId="0" fillId="9" borderId="0" xfId="0" applyFill="1"/>
    <xf numFmtId="0" fontId="47" fillId="5" borderId="14" xfId="0" applyFont="1" applyFill="1" applyBorder="1" applyAlignment="1">
      <alignment horizontal="center" vertical="center" wrapText="1"/>
    </xf>
    <xf numFmtId="0" fontId="47" fillId="5" borderId="14" xfId="0" applyFont="1" applyFill="1" applyBorder="1" applyAlignment="1">
      <alignment horizontal="center" vertical="center"/>
    </xf>
    <xf numFmtId="0" fontId="18" fillId="14" borderId="15" xfId="0" applyFont="1" applyFill="1" applyBorder="1" applyAlignment="1">
      <alignment horizontal="center" vertical="center" wrapText="1"/>
    </xf>
    <xf numFmtId="0" fontId="19" fillId="14" borderId="15" xfId="0" applyFont="1" applyFill="1" applyBorder="1" applyAlignment="1">
      <alignment vertical="center" wrapText="1"/>
    </xf>
    <xf numFmtId="0" fontId="20" fillId="14" borderId="15" xfId="0" applyFont="1" applyFill="1" applyBorder="1" applyAlignment="1">
      <alignment horizontal="center" vertical="center" wrapText="1"/>
    </xf>
    <xf numFmtId="4" fontId="15" fillId="14" borderId="14" xfId="0" applyNumberFormat="1" applyFont="1" applyFill="1" applyBorder="1" applyAlignment="1">
      <alignment horizontal="right" vertical="center" shrinkToFit="1"/>
    </xf>
    <xf numFmtId="0" fontId="19" fillId="7" borderId="15" xfId="0" applyFont="1" applyFill="1" applyBorder="1" applyAlignment="1">
      <alignment vertical="center" wrapText="1"/>
    </xf>
    <xf numFmtId="0" fontId="20" fillId="7" borderId="15" xfId="0" applyFont="1" applyFill="1" applyBorder="1" applyAlignment="1">
      <alignment horizontal="center" vertical="center" wrapText="1"/>
    </xf>
    <xf numFmtId="4" fontId="15" fillId="7" borderId="14" xfId="0" applyNumberFormat="1" applyFont="1" applyFill="1" applyBorder="1" applyAlignment="1">
      <alignment horizontal="right" vertical="center" shrinkToFit="1"/>
    </xf>
    <xf numFmtId="0" fontId="19" fillId="13" borderId="15" xfId="0" applyFont="1" applyFill="1" applyBorder="1" applyAlignment="1">
      <alignment vertical="center" wrapText="1"/>
    </xf>
    <xf numFmtId="0" fontId="20" fillId="13" borderId="15" xfId="0" applyFont="1" applyFill="1" applyBorder="1" applyAlignment="1">
      <alignment horizontal="center" vertical="center" wrapText="1"/>
    </xf>
    <xf numFmtId="4" fontId="15" fillId="13" borderId="14" xfId="0" applyNumberFormat="1" applyFont="1" applyFill="1" applyBorder="1" applyAlignment="1">
      <alignment horizontal="right" vertical="center" shrinkToFit="1"/>
    </xf>
    <xf numFmtId="0" fontId="48" fillId="5" borderId="14" xfId="0" applyFont="1" applyFill="1" applyBorder="1" applyAlignment="1">
      <alignment horizontal="center" vertical="center" wrapText="1"/>
    </xf>
    <xf numFmtId="0" fontId="50" fillId="0" borderId="24" xfId="0" applyFont="1" applyBorder="1" applyAlignment="1">
      <alignment horizontal="justify"/>
    </xf>
    <xf numFmtId="0" fontId="10" fillId="9" borderId="15" xfId="0" applyFont="1" applyFill="1" applyBorder="1" applyAlignment="1">
      <alignment horizontal="left" vertical="center" wrapText="1"/>
    </xf>
    <xf numFmtId="14" fontId="51" fillId="0" borderId="0" xfId="0" applyNumberFormat="1" applyFont="1"/>
    <xf numFmtId="0" fontId="51" fillId="0" borderId="0" xfId="0" applyFont="1"/>
    <xf numFmtId="0" fontId="52" fillId="0" borderId="20" xfId="0" applyFont="1" applyBorder="1" applyAlignment="1">
      <alignment horizontal="justify"/>
    </xf>
    <xf numFmtId="14" fontId="52" fillId="0" borderId="20" xfId="0" applyNumberFormat="1" applyFont="1" applyBorder="1" applyAlignment="1">
      <alignment horizontal="justify"/>
    </xf>
    <xf numFmtId="14" fontId="51" fillId="5" borderId="0" xfId="0" applyNumberFormat="1" applyFont="1" applyFill="1"/>
    <xf numFmtId="0" fontId="0" fillId="5" borderId="14" xfId="0" applyFill="1" applyBorder="1"/>
    <xf numFmtId="0" fontId="41" fillId="5" borderId="14" xfId="0" applyFont="1" applyFill="1" applyBorder="1"/>
    <xf numFmtId="0" fontId="27" fillId="2" borderId="17" xfId="0" applyFont="1" applyFill="1" applyBorder="1" applyAlignment="1">
      <alignment vertical="center"/>
    </xf>
    <xf numFmtId="0" fontId="53" fillId="0" borderId="19" xfId="0" applyFont="1" applyBorder="1"/>
    <xf numFmtId="0" fontId="0" fillId="0" borderId="19" xfId="0" applyBorder="1"/>
    <xf numFmtId="0" fontId="40" fillId="11" borderId="25" xfId="0" applyFont="1" applyFill="1" applyBorder="1" applyAlignment="1">
      <alignment vertical="center" wrapText="1"/>
    </xf>
    <xf numFmtId="0" fontId="28" fillId="2" borderId="15" xfId="0" applyFont="1" applyFill="1" applyBorder="1" applyAlignment="1">
      <alignment vertical="center"/>
    </xf>
    <xf numFmtId="4" fontId="27" fillId="2" borderId="15" xfId="0" applyNumberFormat="1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4" fontId="40" fillId="11" borderId="25" xfId="0" applyNumberFormat="1" applyFont="1" applyFill="1" applyBorder="1" applyAlignment="1">
      <alignment vertical="center" wrapText="1"/>
    </xf>
    <xf numFmtId="0" fontId="29" fillId="0" borderId="15" xfId="0" applyFont="1" applyBorder="1" applyAlignment="1">
      <alignment vertical="top" wrapText="1"/>
    </xf>
    <xf numFmtId="4" fontId="23" fillId="0" borderId="15" xfId="0" applyNumberFormat="1" applyFont="1" applyBorder="1" applyAlignment="1">
      <alignment vertical="center"/>
    </xf>
    <xf numFmtId="0" fontId="27" fillId="0" borderId="15" xfId="0" applyFont="1" applyBorder="1" applyAlignment="1">
      <alignment horizontal="right" vertical="center"/>
    </xf>
    <xf numFmtId="4" fontId="19" fillId="0" borderId="15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9" fillId="0" borderId="15" xfId="0" applyFont="1" applyBorder="1" applyAlignment="1">
      <alignment horizontal="right" vertical="center"/>
    </xf>
    <xf numFmtId="0" fontId="27" fillId="0" borderId="15" xfId="0" applyFont="1" applyBorder="1" applyAlignment="1">
      <alignment vertical="center"/>
    </xf>
    <xf numFmtId="4" fontId="21" fillId="0" borderId="15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center" vertical="center" wrapText="1"/>
    </xf>
    <xf numFmtId="4" fontId="19" fillId="9" borderId="15" xfId="0" applyNumberFormat="1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54" fillId="2" borderId="15" xfId="0" applyFont="1" applyFill="1" applyBorder="1" applyAlignment="1">
      <alignment horizontal="left" vertical="center" wrapText="1"/>
    </xf>
    <xf numFmtId="4" fontId="19" fillId="9" borderId="15" xfId="0" applyNumberFormat="1" applyFont="1" applyFill="1" applyBorder="1" applyAlignment="1">
      <alignment vertical="center"/>
    </xf>
    <xf numFmtId="0" fontId="0" fillId="5" borderId="16" xfId="0" applyFill="1" applyBorder="1"/>
    <xf numFmtId="0" fontId="0" fillId="0" borderId="0" xfId="0" applyAlignment="1">
      <alignment horizontal="justify"/>
    </xf>
    <xf numFmtId="0" fontId="10" fillId="2" borderId="15" xfId="0" applyFont="1" applyFill="1" applyBorder="1"/>
    <xf numFmtId="4" fontId="5" fillId="2" borderId="15" xfId="0" applyNumberFormat="1" applyFont="1" applyFill="1" applyBorder="1"/>
    <xf numFmtId="0" fontId="5" fillId="2" borderId="15" xfId="0" applyFont="1" applyFill="1" applyBorder="1"/>
    <xf numFmtId="4" fontId="19" fillId="15" borderId="15" xfId="0" applyNumberFormat="1" applyFont="1" applyFill="1" applyBorder="1" applyAlignment="1">
      <alignment vertical="center"/>
    </xf>
    <xf numFmtId="0" fontId="21" fillId="2" borderId="15" xfId="0" applyFont="1" applyFill="1" applyBorder="1" applyAlignment="1">
      <alignment horizontal="left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vertical="center"/>
    </xf>
    <xf numFmtId="4" fontId="21" fillId="15" borderId="15" xfId="0" applyNumberFormat="1" applyFont="1" applyFill="1" applyBorder="1" applyAlignment="1">
      <alignment vertical="center"/>
    </xf>
    <xf numFmtId="4" fontId="21" fillId="16" borderId="15" xfId="0" applyNumberFormat="1" applyFont="1" applyFill="1" applyBorder="1" applyAlignment="1">
      <alignment vertical="center"/>
    </xf>
    <xf numFmtId="4" fontId="19" fillId="16" borderId="15" xfId="0" applyNumberFormat="1" applyFont="1" applyFill="1" applyBorder="1" applyAlignment="1">
      <alignment vertical="center"/>
    </xf>
    <xf numFmtId="4" fontId="27" fillId="2" borderId="15" xfId="0" applyNumberFormat="1" applyFont="1" applyFill="1" applyBorder="1" applyAlignment="1">
      <alignment vertical="center"/>
    </xf>
    <xf numFmtId="0" fontId="23" fillId="15" borderId="15" xfId="0" applyFont="1" applyFill="1" applyBorder="1" applyAlignment="1">
      <alignment vertical="center"/>
    </xf>
    <xf numFmtId="4" fontId="23" fillId="15" borderId="15" xfId="0" applyNumberFormat="1" applyFont="1" applyFill="1" applyBorder="1" applyAlignment="1">
      <alignment vertical="center"/>
    </xf>
    <xf numFmtId="0" fontId="23" fillId="16" borderId="15" xfId="0" applyFont="1" applyFill="1" applyBorder="1" applyAlignment="1">
      <alignment vertical="center"/>
    </xf>
    <xf numFmtId="4" fontId="23" fillId="16" borderId="15" xfId="0" applyNumberFormat="1" applyFont="1" applyFill="1" applyBorder="1" applyAlignment="1">
      <alignment vertical="center"/>
    </xf>
    <xf numFmtId="4" fontId="23" fillId="9" borderId="15" xfId="0" applyNumberFormat="1" applyFont="1" applyFill="1" applyBorder="1" applyAlignment="1">
      <alignment vertical="center"/>
    </xf>
    <xf numFmtId="4" fontId="40" fillId="11" borderId="21" xfId="0" applyNumberFormat="1" applyFont="1" applyFill="1" applyBorder="1" applyAlignment="1">
      <alignment vertical="center" wrapText="1"/>
    </xf>
    <xf numFmtId="4" fontId="10" fillId="0" borderId="15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left" vertical="center" wrapText="1"/>
    </xf>
    <xf numFmtId="4" fontId="23" fillId="0" borderId="1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4" fontId="23" fillId="0" borderId="15" xfId="0" applyNumberFormat="1" applyFont="1" applyBorder="1" applyAlignment="1">
      <alignment horizontal="right" vertical="center"/>
    </xf>
    <xf numFmtId="4" fontId="23" fillId="9" borderId="18" xfId="0" applyNumberFormat="1" applyFont="1" applyFill="1" applyBorder="1" applyAlignment="1">
      <alignment vertical="center"/>
    </xf>
    <xf numFmtId="0" fontId="19" fillId="5" borderId="15" xfId="0" applyFont="1" applyFill="1" applyBorder="1" applyAlignment="1">
      <alignment vertical="center" wrapText="1"/>
    </xf>
    <xf numFmtId="17" fontId="0" fillId="0" borderId="0" xfId="0" applyNumberFormat="1"/>
    <xf numFmtId="0" fontId="27" fillId="2" borderId="15" xfId="0" applyFont="1" applyFill="1" applyBorder="1" applyAlignment="1">
      <alignment vertical="center" wrapText="1"/>
    </xf>
    <xf numFmtId="0" fontId="53" fillId="5" borderId="19" xfId="0" applyFont="1" applyFill="1" applyBorder="1"/>
    <xf numFmtId="4" fontId="10" fillId="5" borderId="14" xfId="0" applyNumberFormat="1" applyFont="1" applyFill="1" applyBorder="1" applyAlignment="1">
      <alignment horizontal="center" vertical="center"/>
    </xf>
    <xf numFmtId="2" fontId="41" fillId="5" borderId="14" xfId="0" applyNumberFormat="1" applyFont="1" applyFill="1" applyBorder="1"/>
    <xf numFmtId="0" fontId="10" fillId="5" borderId="15" xfId="0" applyFont="1" applyFill="1" applyBorder="1" applyAlignment="1">
      <alignment horizontal="left" vertical="center" wrapText="1"/>
    </xf>
    <xf numFmtId="0" fontId="27" fillId="5" borderId="15" xfId="0" applyFont="1" applyFill="1" applyBorder="1" applyAlignment="1">
      <alignment horizontal="right" vertical="center"/>
    </xf>
    <xf numFmtId="4" fontId="23" fillId="5" borderId="15" xfId="0" applyNumberFormat="1" applyFont="1" applyFill="1" applyBorder="1" applyAlignment="1">
      <alignment vertical="center"/>
    </xf>
    <xf numFmtId="4" fontId="19" fillId="5" borderId="15" xfId="0" applyNumberFormat="1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42" fillId="5" borderId="15" xfId="0" applyFont="1" applyFill="1" applyBorder="1" applyAlignment="1">
      <alignment horizontal="left" vertical="center" wrapText="1"/>
    </xf>
    <xf numFmtId="0" fontId="54" fillId="5" borderId="15" xfId="0" applyFont="1" applyFill="1" applyBorder="1" applyAlignment="1">
      <alignment horizontal="left" vertical="center" wrapText="1"/>
    </xf>
    <xf numFmtId="0" fontId="23" fillId="5" borderId="15" xfId="0" applyFont="1" applyFill="1" applyBorder="1" applyAlignment="1">
      <alignment horizontal="right" vertical="center"/>
    </xf>
    <xf numFmtId="0" fontId="23" fillId="5" borderId="15" xfId="0" applyFont="1" applyFill="1" applyBorder="1" applyAlignment="1">
      <alignment vertical="center"/>
    </xf>
    <xf numFmtId="0" fontId="21" fillId="5" borderId="15" xfId="0" applyFont="1" applyFill="1" applyBorder="1" applyAlignment="1">
      <alignment horizontal="center" vertical="center"/>
    </xf>
    <xf numFmtId="4" fontId="21" fillId="5" borderId="15" xfId="0" applyNumberFormat="1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vertical="center" wrapText="1"/>
    </xf>
    <xf numFmtId="0" fontId="42" fillId="5" borderId="15" xfId="0" applyFont="1" applyFill="1" applyBorder="1" applyAlignment="1">
      <alignment vertical="center" wrapText="1"/>
    </xf>
    <xf numFmtId="0" fontId="42" fillId="5" borderId="18" xfId="0" applyFont="1" applyFill="1" applyBorder="1" applyAlignment="1">
      <alignment horizontal="left" vertical="center" wrapText="1"/>
    </xf>
    <xf numFmtId="0" fontId="19" fillId="2" borderId="15" xfId="0" applyFont="1" applyFill="1" applyBorder="1"/>
    <xf numFmtId="0" fontId="42" fillId="2" borderId="18" xfId="0" applyFont="1" applyFill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4" fontId="34" fillId="5" borderId="15" xfId="0" applyNumberFormat="1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 wrapText="1"/>
    </xf>
    <xf numFmtId="4" fontId="15" fillId="7" borderId="41" xfId="0" applyNumberFormat="1" applyFont="1" applyFill="1" applyBorder="1" applyAlignment="1">
      <alignment horizontal="right" vertical="center" shrinkToFit="1"/>
    </xf>
    <xf numFmtId="4" fontId="52" fillId="0" borderId="14" xfId="0" applyNumberFormat="1" applyFont="1" applyBorder="1" applyAlignment="1">
      <alignment horizontal="center" vertical="center" shrinkToFit="1"/>
    </xf>
    <xf numFmtId="4" fontId="52" fillId="5" borderId="14" xfId="0" applyNumberFormat="1" applyFont="1" applyFill="1" applyBorder="1" applyAlignment="1">
      <alignment horizontal="center" vertical="center" shrinkToFit="1"/>
    </xf>
    <xf numFmtId="4" fontId="60" fillId="0" borderId="14" xfId="0" applyNumberFormat="1" applyFont="1" applyBorder="1" applyAlignment="1">
      <alignment horizontal="center" vertical="center" shrinkToFit="1"/>
    </xf>
    <xf numFmtId="4" fontId="16" fillId="2" borderId="47" xfId="0" applyNumberFormat="1" applyFont="1" applyFill="1" applyBorder="1" applyAlignment="1">
      <alignment horizontal="center" vertical="center"/>
    </xf>
    <xf numFmtId="4" fontId="15" fillId="14" borderId="41" xfId="0" applyNumberFormat="1" applyFont="1" applyFill="1" applyBorder="1" applyAlignment="1">
      <alignment horizontal="right" vertical="center" shrinkToFit="1"/>
    </xf>
    <xf numFmtId="4" fontId="50" fillId="5" borderId="14" xfId="0" applyNumberFormat="1" applyFont="1" applyFill="1" applyBorder="1" applyAlignment="1">
      <alignment horizontal="center" vertical="center" shrinkToFit="1"/>
    </xf>
    <xf numFmtId="4" fontId="62" fillId="5" borderId="14" xfId="0" applyNumberFormat="1" applyFont="1" applyFill="1" applyBorder="1" applyAlignment="1">
      <alignment horizontal="center" vertical="center" shrinkToFit="1"/>
    </xf>
    <xf numFmtId="4" fontId="61" fillId="5" borderId="14" xfId="0" applyNumberFormat="1" applyFont="1" applyFill="1" applyBorder="1" applyAlignment="1">
      <alignment horizontal="center" vertical="center" shrinkToFit="1"/>
    </xf>
    <xf numFmtId="4" fontId="56" fillId="5" borderId="14" xfId="0" applyNumberFormat="1" applyFont="1" applyFill="1" applyBorder="1" applyAlignment="1">
      <alignment horizontal="center" vertical="center" shrinkToFit="1"/>
    </xf>
    <xf numFmtId="4" fontId="64" fillId="5" borderId="14" xfId="0" applyNumberFormat="1" applyFont="1" applyFill="1" applyBorder="1" applyAlignment="1">
      <alignment horizontal="center" vertical="center" shrinkToFit="1"/>
    </xf>
    <xf numFmtId="4" fontId="56" fillId="5" borderId="14" xfId="0" applyNumberFormat="1" applyFont="1" applyFill="1" applyBorder="1" applyAlignment="1">
      <alignment vertical="center" shrinkToFit="1"/>
    </xf>
    <xf numFmtId="4" fontId="64" fillId="5" borderId="14" xfId="0" applyNumberFormat="1" applyFont="1" applyFill="1" applyBorder="1" applyAlignment="1">
      <alignment vertical="center" shrinkToFit="1"/>
    </xf>
    <xf numFmtId="0" fontId="65" fillId="0" borderId="14" xfId="0" applyFont="1" applyBorder="1" applyAlignment="1">
      <alignment horizontal="left" vertical="center" wrapText="1"/>
    </xf>
    <xf numFmtId="0" fontId="52" fillId="0" borderId="14" xfId="0" applyFont="1" applyBorder="1" applyAlignment="1">
      <alignment horizontal="left" vertical="center" wrapText="1"/>
    </xf>
    <xf numFmtId="4" fontId="56" fillId="0" borderId="14" xfId="0" applyNumberFormat="1" applyFont="1" applyBorder="1" applyAlignment="1">
      <alignment horizontal="center" vertical="center" shrinkToFit="1"/>
    </xf>
    <xf numFmtId="4" fontId="56" fillId="0" borderId="14" xfId="0" applyNumberFormat="1" applyFont="1" applyBorder="1" applyAlignment="1">
      <alignment horizontal="right" vertical="center" shrinkToFit="1"/>
    </xf>
    <xf numFmtId="4" fontId="47" fillId="0" borderId="14" xfId="0" applyNumberFormat="1" applyFont="1" applyBorder="1" applyAlignment="1">
      <alignment horizontal="right" vertical="center" shrinkToFit="1"/>
    </xf>
    <xf numFmtId="165" fontId="52" fillId="5" borderId="14" xfId="0" applyNumberFormat="1" applyFont="1" applyFill="1" applyBorder="1" applyAlignment="1">
      <alignment horizontal="center" vertical="center" shrinkToFit="1"/>
    </xf>
    <xf numFmtId="4" fontId="15" fillId="13" borderId="41" xfId="0" applyNumberFormat="1" applyFont="1" applyFill="1" applyBorder="1" applyAlignment="1">
      <alignment horizontal="right" vertical="center" shrinkToFit="1"/>
    </xf>
    <xf numFmtId="4" fontId="50" fillId="14" borderId="14" xfId="0" applyNumberFormat="1" applyFont="1" applyFill="1" applyBorder="1" applyAlignment="1">
      <alignment horizontal="center" vertical="center" shrinkToFit="1"/>
    </xf>
    <xf numFmtId="0" fontId="10" fillId="14" borderId="14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 wrapText="1"/>
    </xf>
    <xf numFmtId="4" fontId="16" fillId="9" borderId="15" xfId="0" applyNumberFormat="1" applyFont="1" applyFill="1" applyBorder="1" applyAlignment="1">
      <alignment horizontal="center" vertical="center"/>
    </xf>
    <xf numFmtId="0" fontId="40" fillId="9" borderId="20" xfId="0" applyFont="1" applyFill="1" applyBorder="1" applyAlignment="1">
      <alignment vertical="center" wrapText="1"/>
    </xf>
    <xf numFmtId="0" fontId="20" fillId="9" borderId="15" xfId="0" applyFont="1" applyFill="1" applyBorder="1" applyAlignment="1">
      <alignment vertical="center"/>
    </xf>
    <xf numFmtId="4" fontId="26" fillId="9" borderId="16" xfId="0" applyNumberFormat="1" applyFont="1" applyFill="1" applyBorder="1" applyAlignment="1">
      <alignment vertical="center" wrapText="1"/>
    </xf>
    <xf numFmtId="4" fontId="56" fillId="9" borderId="14" xfId="0" applyNumberFormat="1" applyFont="1" applyFill="1" applyBorder="1" applyAlignment="1">
      <alignment horizontal="center" vertical="center" shrinkToFit="1"/>
    </xf>
    <xf numFmtId="4" fontId="64" fillId="9" borderId="14" xfId="0" applyNumberFormat="1" applyFont="1" applyFill="1" applyBorder="1" applyAlignment="1">
      <alignment vertical="center" shrinkToFit="1"/>
    </xf>
    <xf numFmtId="0" fontId="19" fillId="9" borderId="15" xfId="0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19" fillId="9" borderId="15" xfId="0" applyFont="1" applyFill="1" applyBorder="1" applyAlignment="1">
      <alignment vertical="center"/>
    </xf>
    <xf numFmtId="4" fontId="27" fillId="9" borderId="15" xfId="0" applyNumberFormat="1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right"/>
    </xf>
    <xf numFmtId="4" fontId="34" fillId="9" borderId="15" xfId="0" applyNumberFormat="1" applyFont="1" applyFill="1" applyBorder="1" applyAlignment="1">
      <alignment horizontal="center" vertical="center"/>
    </xf>
    <xf numFmtId="0" fontId="38" fillId="9" borderId="15" xfId="0" applyFont="1" applyFill="1" applyBorder="1" applyAlignment="1">
      <alignment horizontal="right" vertical="center"/>
    </xf>
    <xf numFmtId="164" fontId="40" fillId="9" borderId="20" xfId="0" applyNumberFormat="1" applyFont="1" applyFill="1" applyBorder="1" applyAlignment="1">
      <alignment vertical="center" wrapText="1"/>
    </xf>
    <xf numFmtId="4" fontId="56" fillId="9" borderId="14" xfId="0" applyNumberFormat="1" applyFont="1" applyFill="1" applyBorder="1" applyAlignment="1">
      <alignment horizontal="right" vertical="center" shrinkToFit="1"/>
    </xf>
    <xf numFmtId="0" fontId="27" fillId="9" borderId="15" xfId="0" applyFont="1" applyFill="1" applyBorder="1" applyAlignment="1">
      <alignment horizontal="right" vertical="center"/>
    </xf>
    <xf numFmtId="0" fontId="19" fillId="9" borderId="15" xfId="0" applyFont="1" applyFill="1" applyBorder="1" applyAlignment="1">
      <alignment horizontal="right" vertical="center"/>
    </xf>
    <xf numFmtId="4" fontId="52" fillId="9" borderId="14" xfId="0" applyNumberFormat="1" applyFont="1" applyFill="1" applyBorder="1" applyAlignment="1">
      <alignment horizontal="center" vertical="center" shrinkToFit="1"/>
    </xf>
    <xf numFmtId="165" fontId="52" fillId="9" borderId="14" xfId="0" applyNumberFormat="1" applyFont="1" applyFill="1" applyBorder="1" applyAlignment="1">
      <alignment horizontal="center" vertical="center" shrinkToFit="1"/>
    </xf>
    <xf numFmtId="4" fontId="23" fillId="9" borderId="15" xfId="0" applyNumberFormat="1" applyFont="1" applyFill="1" applyBorder="1" applyAlignment="1">
      <alignment horizontal="right" vertical="center"/>
    </xf>
    <xf numFmtId="4" fontId="40" fillId="9" borderId="20" xfId="0" applyNumberFormat="1" applyFont="1" applyFill="1" applyBorder="1" applyAlignment="1">
      <alignment vertical="center" wrapText="1"/>
    </xf>
    <xf numFmtId="0" fontId="27" fillId="9" borderId="15" xfId="0" applyFont="1" applyFill="1" applyBorder="1" applyAlignment="1">
      <alignment horizontal="center" vertical="center"/>
    </xf>
    <xf numFmtId="4" fontId="33" fillId="9" borderId="15" xfId="0" applyNumberFormat="1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vertical="center"/>
    </xf>
    <xf numFmtId="4" fontId="27" fillId="9" borderId="15" xfId="0" applyNumberFormat="1" applyFont="1" applyFill="1" applyBorder="1" applyAlignment="1">
      <alignment vertical="center"/>
    </xf>
    <xf numFmtId="0" fontId="40" fillId="9" borderId="21" xfId="0" applyFont="1" applyFill="1" applyBorder="1" applyAlignment="1">
      <alignment vertical="center" wrapText="1"/>
    </xf>
    <xf numFmtId="0" fontId="23" fillId="9" borderId="15" xfId="0" applyFont="1" applyFill="1" applyBorder="1" applyAlignment="1">
      <alignment vertical="center"/>
    </xf>
    <xf numFmtId="4" fontId="43" fillId="9" borderId="32" xfId="0" applyNumberFormat="1" applyFont="1" applyFill="1" applyBorder="1" applyAlignment="1">
      <alignment horizontal="center" vertical="center"/>
    </xf>
    <xf numFmtId="4" fontId="66" fillId="5" borderId="14" xfId="0" applyNumberFormat="1" applyFont="1" applyFill="1" applyBorder="1" applyAlignment="1">
      <alignment horizontal="center" vertical="center" shrinkToFit="1"/>
    </xf>
    <xf numFmtId="4" fontId="67" fillId="5" borderId="14" xfId="0" applyNumberFormat="1" applyFont="1" applyFill="1" applyBorder="1" applyAlignment="1">
      <alignment horizontal="center" vertical="center" shrinkToFit="1"/>
    </xf>
    <xf numFmtId="4" fontId="68" fillId="5" borderId="14" xfId="0" applyNumberFormat="1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left" vertical="center" wrapText="1"/>
    </xf>
    <xf numFmtId="4" fontId="10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0" fontId="40" fillId="11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/>
    </xf>
    <xf numFmtId="0" fontId="25" fillId="9" borderId="0" xfId="0" applyFont="1" applyFill="1" applyAlignment="1">
      <alignment horizontal="left" vertical="center" wrapText="1"/>
    </xf>
    <xf numFmtId="4" fontId="26" fillId="10" borderId="0" xfId="0" applyNumberFormat="1" applyFont="1" applyFill="1" applyAlignment="1">
      <alignment vertical="center" wrapText="1"/>
    </xf>
    <xf numFmtId="4" fontId="10" fillId="5" borderId="0" xfId="0" applyNumberFormat="1" applyFont="1" applyFill="1" applyAlignment="1">
      <alignment horizontal="center" vertical="center"/>
    </xf>
    <xf numFmtId="4" fontId="27" fillId="2" borderId="0" xfId="0" applyNumberFormat="1" applyFont="1" applyFill="1" applyAlignment="1">
      <alignment horizontal="center" vertical="center"/>
    </xf>
    <xf numFmtId="4" fontId="40" fillId="11" borderId="0" xfId="0" applyNumberFormat="1" applyFont="1" applyFill="1" applyAlignment="1">
      <alignment vertical="center" wrapText="1"/>
    </xf>
    <xf numFmtId="4" fontId="34" fillId="0" borderId="0" xfId="0" applyNumberFormat="1" applyFont="1" applyAlignment="1">
      <alignment horizontal="center" vertical="center"/>
    </xf>
    <xf numFmtId="164" fontId="40" fillId="11" borderId="0" xfId="0" applyNumberFormat="1" applyFont="1" applyFill="1" applyAlignment="1">
      <alignment vertical="center" wrapText="1"/>
    </xf>
    <xf numFmtId="4" fontId="23" fillId="0" borderId="0" xfId="0" applyNumberFormat="1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33" fillId="0" borderId="0" xfId="0" applyNumberFormat="1" applyFont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4" fontId="27" fillId="2" borderId="0" xfId="0" applyNumberFormat="1" applyFont="1" applyFill="1" applyAlignment="1">
      <alignment vertical="center"/>
    </xf>
    <xf numFmtId="4" fontId="23" fillId="9" borderId="0" xfId="0" applyNumberFormat="1" applyFont="1" applyFill="1" applyAlignment="1">
      <alignment vertical="center"/>
    </xf>
    <xf numFmtId="4" fontId="43" fillId="0" borderId="0" xfId="0" applyNumberFormat="1" applyFont="1" applyAlignment="1">
      <alignment horizontal="center" vertical="center"/>
    </xf>
    <xf numFmtId="4" fontId="69" fillId="5" borderId="14" xfId="0" applyNumberFormat="1" applyFont="1" applyFill="1" applyBorder="1" applyAlignment="1">
      <alignment horizontal="center" vertical="center" shrinkToFit="1"/>
    </xf>
    <xf numFmtId="0" fontId="60" fillId="5" borderId="14" xfId="0" applyFont="1" applyFill="1" applyBorder="1" applyAlignment="1">
      <alignment vertical="center" wrapText="1"/>
    </xf>
    <xf numFmtId="0" fontId="20" fillId="2" borderId="47" xfId="0" applyFont="1" applyFill="1" applyBorder="1" applyAlignment="1">
      <alignment vertical="center"/>
    </xf>
    <xf numFmtId="0" fontId="20" fillId="2" borderId="48" xfId="0" applyFont="1" applyFill="1" applyBorder="1" applyAlignment="1">
      <alignment vertical="center"/>
    </xf>
    <xf numFmtId="4" fontId="70" fillId="5" borderId="14" xfId="0" applyNumberFormat="1" applyFont="1" applyFill="1" applyBorder="1" applyAlignment="1">
      <alignment horizontal="right" vertical="center" shrinkToFit="1"/>
    </xf>
    <xf numFmtId="4" fontId="71" fillId="5" borderId="14" xfId="0" applyNumberFormat="1" applyFont="1" applyFill="1" applyBorder="1" applyAlignment="1">
      <alignment horizontal="right" vertical="center" shrinkToFit="1"/>
    </xf>
    <xf numFmtId="4" fontId="10" fillId="9" borderId="0" xfId="0" applyNumberFormat="1" applyFont="1" applyFill="1" applyAlignment="1">
      <alignment horizontal="center" vertical="center"/>
    </xf>
    <xf numFmtId="49" fontId="18" fillId="7" borderId="15" xfId="0" applyNumberFormat="1" applyFont="1" applyFill="1" applyBorder="1" applyAlignment="1">
      <alignment horizontal="center" vertical="center" wrapText="1"/>
    </xf>
    <xf numFmtId="49" fontId="18" fillId="14" borderId="15" xfId="0" applyNumberFormat="1" applyFont="1" applyFill="1" applyBorder="1" applyAlignment="1">
      <alignment horizontal="center" vertical="center" wrapText="1"/>
    </xf>
    <xf numFmtId="49" fontId="18" fillId="13" borderId="15" xfId="0" applyNumberFormat="1" applyFont="1" applyFill="1" applyBorder="1" applyAlignment="1">
      <alignment horizontal="center" vertical="center" wrapText="1"/>
    </xf>
    <xf numFmtId="49" fontId="18" fillId="2" borderId="15" xfId="0" applyNumberFormat="1" applyFont="1" applyFill="1" applyBorder="1" applyAlignment="1">
      <alignment horizontal="center" vertical="center" wrapText="1"/>
    </xf>
    <xf numFmtId="0" fontId="73" fillId="5" borderId="14" xfId="0" applyFont="1" applyFill="1" applyBorder="1" applyAlignment="1">
      <alignment vertical="center" wrapText="1"/>
    </xf>
    <xf numFmtId="0" fontId="61" fillId="5" borderId="14" xfId="0" applyFont="1" applyFill="1" applyBorder="1" applyAlignment="1">
      <alignment horizontal="center" vertical="center" wrapText="1"/>
    </xf>
    <xf numFmtId="4" fontId="61" fillId="5" borderId="14" xfId="0" applyNumberFormat="1" applyFont="1" applyFill="1" applyBorder="1" applyAlignment="1">
      <alignment horizontal="right" vertical="center" shrinkToFit="1"/>
    </xf>
    <xf numFmtId="4" fontId="74" fillId="5" borderId="14" xfId="0" applyNumberFormat="1" applyFont="1" applyFill="1" applyBorder="1" applyAlignment="1">
      <alignment horizontal="center" vertical="center" shrinkToFit="1"/>
    </xf>
    <xf numFmtId="4" fontId="75" fillId="0" borderId="14" xfId="0" applyNumberFormat="1" applyFont="1" applyBorder="1" applyAlignment="1">
      <alignment horizontal="center" vertical="center" shrinkToFit="1"/>
    </xf>
    <xf numFmtId="0" fontId="21" fillId="17" borderId="15" xfId="0" applyFont="1" applyFill="1" applyBorder="1" applyAlignment="1">
      <alignment vertical="center" wrapText="1"/>
    </xf>
    <xf numFmtId="4" fontId="10" fillId="17" borderId="14" xfId="0" applyNumberFormat="1" applyFont="1" applyFill="1" applyBorder="1" applyAlignment="1">
      <alignment horizontal="center" vertical="center"/>
    </xf>
    <xf numFmtId="0" fontId="60" fillId="17" borderId="14" xfId="0" applyFont="1" applyFill="1" applyBorder="1" applyAlignment="1">
      <alignment vertical="center" wrapText="1"/>
    </xf>
    <xf numFmtId="0" fontId="19" fillId="17" borderId="15" xfId="0" applyFont="1" applyFill="1" applyBorder="1" applyAlignment="1">
      <alignment vertical="center" wrapText="1"/>
    </xf>
    <xf numFmtId="0" fontId="76" fillId="5" borderId="14" xfId="0" applyFont="1" applyFill="1" applyBorder="1"/>
    <xf numFmtId="0" fontId="21" fillId="5" borderId="15" xfId="0" applyFont="1" applyFill="1" applyBorder="1" applyAlignment="1">
      <alignment horizontal="left" vertical="center" wrapText="1"/>
    </xf>
    <xf numFmtId="0" fontId="21" fillId="5" borderId="1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left" vertical="center" wrapText="1"/>
    </xf>
    <xf numFmtId="0" fontId="18" fillId="5" borderId="15" xfId="0" applyFont="1" applyFill="1" applyBorder="1" applyAlignment="1">
      <alignment horizontal="center" vertical="center" wrapText="1"/>
    </xf>
    <xf numFmtId="49" fontId="20" fillId="5" borderId="15" xfId="0" applyNumberFormat="1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vertical="center" wrapText="1"/>
    </xf>
    <xf numFmtId="4" fontId="69" fillId="14" borderId="14" xfId="0" applyNumberFormat="1" applyFont="1" applyFill="1" applyBorder="1" applyAlignment="1">
      <alignment horizontal="center" vertical="center" shrinkToFit="1"/>
    </xf>
    <xf numFmtId="4" fontId="17" fillId="14" borderId="14" xfId="0" applyNumberFormat="1" applyFont="1" applyFill="1" applyBorder="1" applyAlignment="1">
      <alignment horizontal="center" vertical="center"/>
    </xf>
    <xf numFmtId="0" fontId="10" fillId="14" borderId="14" xfId="0" applyFont="1" applyFill="1" applyBorder="1" applyAlignment="1">
      <alignment horizontal="center" vertical="center"/>
    </xf>
    <xf numFmtId="4" fontId="10" fillId="14" borderId="14" xfId="0" applyNumberFormat="1" applyFont="1" applyFill="1" applyBorder="1" applyAlignment="1">
      <alignment horizontal="center" vertical="center"/>
    </xf>
    <xf numFmtId="4" fontId="69" fillId="8" borderId="14" xfId="0" applyNumberFormat="1" applyFont="1" applyFill="1" applyBorder="1" applyAlignment="1">
      <alignment horizontal="center" vertical="center" shrinkToFit="1"/>
    </xf>
    <xf numFmtId="4" fontId="50" fillId="8" borderId="14" xfId="0" applyNumberFormat="1" applyFont="1" applyFill="1" applyBorder="1" applyAlignment="1">
      <alignment horizontal="center" vertical="center" shrinkToFit="1"/>
    </xf>
    <xf numFmtId="4" fontId="10" fillId="14" borderId="0" xfId="0" applyNumberFormat="1" applyFont="1" applyFill="1" applyAlignment="1">
      <alignment horizontal="center" vertical="center"/>
    </xf>
    <xf numFmtId="4" fontId="10" fillId="17" borderId="0" xfId="0" applyNumberFormat="1" applyFont="1" applyFill="1" applyAlignment="1">
      <alignment horizontal="center" vertical="center"/>
    </xf>
    <xf numFmtId="4" fontId="69" fillId="9" borderId="14" xfId="0" applyNumberFormat="1" applyFont="1" applyFill="1" applyBorder="1" applyAlignment="1">
      <alignment horizontal="center" vertical="center" shrinkToFit="1"/>
    </xf>
    <xf numFmtId="4" fontId="50" fillId="9" borderId="14" xfId="0" applyNumberFormat="1" applyFont="1" applyFill="1" applyBorder="1" applyAlignment="1">
      <alignment horizontal="center" vertical="center" shrinkToFit="1"/>
    </xf>
    <xf numFmtId="4" fontId="66" fillId="9" borderId="14" xfId="0" applyNumberFormat="1" applyFont="1" applyFill="1" applyBorder="1" applyAlignment="1">
      <alignment horizontal="center" vertical="center" shrinkToFit="1"/>
    </xf>
    <xf numFmtId="4" fontId="69" fillId="18" borderId="14" xfId="0" applyNumberFormat="1" applyFont="1" applyFill="1" applyBorder="1" applyAlignment="1">
      <alignment horizontal="center" vertical="center" shrinkToFit="1"/>
    </xf>
    <xf numFmtId="0" fontId="19" fillId="9" borderId="15" xfId="0" applyFont="1" applyFill="1" applyBorder="1" applyAlignment="1">
      <alignment vertical="center" wrapText="1"/>
    </xf>
    <xf numFmtId="0" fontId="19" fillId="19" borderId="15" xfId="0" applyFont="1" applyFill="1" applyBorder="1" applyAlignment="1">
      <alignment vertical="center" wrapText="1"/>
    </xf>
    <xf numFmtId="4" fontId="15" fillId="14" borderId="0" xfId="0" applyNumberFormat="1" applyFont="1" applyFill="1" applyAlignment="1">
      <alignment horizontal="right" vertical="center" shrinkToFit="1"/>
    </xf>
    <xf numFmtId="4" fontId="50" fillId="4" borderId="14" xfId="0" applyNumberFormat="1" applyFont="1" applyFill="1" applyBorder="1" applyAlignment="1">
      <alignment horizontal="center" vertical="center" shrinkToFit="1"/>
    </xf>
    <xf numFmtId="4" fontId="69" fillId="4" borderId="14" xfId="0" applyNumberFormat="1" applyFont="1" applyFill="1" applyBorder="1" applyAlignment="1">
      <alignment horizontal="center" vertical="center" shrinkToFit="1"/>
    </xf>
    <xf numFmtId="4" fontId="40" fillId="11" borderId="20" xfId="0" applyNumberFormat="1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horizontal="center" vertical="center"/>
    </xf>
    <xf numFmtId="4" fontId="6" fillId="3" borderId="3" xfId="0" applyNumberFormat="1" applyFont="1" applyFill="1" applyBorder="1" applyAlignment="1">
      <alignment horizontal="center" vertical="center" wrapText="1"/>
    </xf>
    <xf numFmtId="4" fontId="0" fillId="0" borderId="14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39" fillId="0" borderId="14" xfId="0" applyNumberFormat="1" applyFont="1" applyBorder="1" applyAlignment="1">
      <alignment horizontal="center" vertical="center"/>
    </xf>
    <xf numFmtId="4" fontId="5" fillId="5" borderId="14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/>
    </xf>
    <xf numFmtId="4" fontId="8" fillId="4" borderId="5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6" borderId="5" xfId="0" applyNumberFormat="1" applyFont="1" applyFill="1" applyBorder="1" applyAlignment="1">
      <alignment horizontal="center" vertical="center"/>
    </xf>
    <xf numFmtId="4" fontId="8" fillId="8" borderId="5" xfId="0" applyNumberFormat="1" applyFont="1" applyFill="1" applyBorder="1" applyAlignment="1">
      <alignment horizontal="center" vertical="center"/>
    </xf>
    <xf numFmtId="4" fontId="6" fillId="5" borderId="15" xfId="0" applyNumberFormat="1" applyFont="1" applyFill="1" applyBorder="1" applyAlignment="1">
      <alignment horizontal="center" vertical="center"/>
    </xf>
    <xf numFmtId="4" fontId="80" fillId="11" borderId="20" xfId="0" applyNumberFormat="1" applyFont="1" applyFill="1" applyBorder="1" applyAlignment="1">
      <alignment vertical="center" wrapText="1"/>
    </xf>
    <xf numFmtId="4" fontId="80" fillId="5" borderId="20" xfId="0" applyNumberFormat="1" applyFont="1" applyFill="1" applyBorder="1" applyAlignment="1">
      <alignment vertical="center" wrapText="1"/>
    </xf>
    <xf numFmtId="4" fontId="6" fillId="0" borderId="15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right" vertical="center"/>
    </xf>
    <xf numFmtId="4" fontId="6" fillId="5" borderId="15" xfId="0" applyNumberFormat="1" applyFont="1" applyFill="1" applyBorder="1" applyAlignment="1">
      <alignment horizontal="right" vertical="center"/>
    </xf>
    <xf numFmtId="4" fontId="81" fillId="0" borderId="14" xfId="0" applyNumberFormat="1" applyFont="1" applyBorder="1" applyAlignment="1">
      <alignment horizontal="center" vertical="center" shrinkToFit="1"/>
    </xf>
    <xf numFmtId="4" fontId="81" fillId="5" borderId="14" xfId="0" applyNumberFormat="1" applyFont="1" applyFill="1" applyBorder="1" applyAlignment="1">
      <alignment horizontal="center" vertical="center" shrinkToFit="1"/>
    </xf>
    <xf numFmtId="4" fontId="0" fillId="0" borderId="23" xfId="0" applyNumberFormat="1" applyBorder="1" applyAlignment="1">
      <alignment horizontal="center" vertical="center"/>
    </xf>
    <xf numFmtId="0" fontId="65" fillId="21" borderId="14" xfId="0" applyFont="1" applyFill="1" applyBorder="1" applyAlignment="1">
      <alignment horizontal="left" vertical="center" wrapText="1"/>
    </xf>
    <xf numFmtId="4" fontId="64" fillId="7" borderId="14" xfId="0" applyNumberFormat="1" applyFont="1" applyFill="1" applyBorder="1" applyAlignment="1">
      <alignment horizontal="center" vertical="center" shrinkToFit="1"/>
    </xf>
    <xf numFmtId="4" fontId="64" fillId="20" borderId="14" xfId="0" applyNumberFormat="1" applyFont="1" applyFill="1" applyBorder="1" applyAlignment="1">
      <alignment horizontal="center" vertical="center" shrinkToFit="1"/>
    </xf>
    <xf numFmtId="4" fontId="64" fillId="6" borderId="14" xfId="0" applyNumberFormat="1" applyFont="1" applyFill="1" applyBorder="1" applyAlignment="1">
      <alignment horizontal="center" vertical="center" shrinkToFit="1"/>
    </xf>
    <xf numFmtId="4" fontId="64" fillId="0" borderId="14" xfId="0" applyNumberFormat="1" applyFont="1" applyBorder="1" applyAlignment="1">
      <alignment horizontal="center" vertical="center" shrinkToFit="1"/>
    </xf>
    <xf numFmtId="0" fontId="55" fillId="0" borderId="19" xfId="0" applyFont="1" applyBorder="1" applyAlignment="1">
      <alignment horizontal="center" vertical="center" shrinkToFit="1"/>
    </xf>
    <xf numFmtId="0" fontId="58" fillId="0" borderId="19" xfId="0" applyFont="1" applyBorder="1" applyAlignment="1">
      <alignment horizontal="left" vertical="center" wrapText="1"/>
    </xf>
    <xf numFmtId="4" fontId="52" fillId="0" borderId="14" xfId="0" applyNumberFormat="1" applyFont="1" applyBorder="1" applyAlignment="1">
      <alignment horizontal="center" vertical="center"/>
    </xf>
    <xf numFmtId="165" fontId="56" fillId="0" borderId="23" xfId="0" applyNumberFormat="1" applyFont="1" applyBorder="1" applyAlignment="1">
      <alignment horizontal="center" vertical="center" shrinkToFit="1"/>
    </xf>
    <xf numFmtId="165" fontId="56" fillId="4" borderId="23" xfId="0" applyNumberFormat="1" applyFont="1" applyFill="1" applyBorder="1" applyAlignment="1">
      <alignment horizontal="center" vertical="center" shrinkToFit="1"/>
    </xf>
    <xf numFmtId="165" fontId="56" fillId="5" borderId="23" xfId="0" applyNumberFormat="1" applyFont="1" applyFill="1" applyBorder="1" applyAlignment="1">
      <alignment horizontal="center" vertical="center" shrinkToFit="1"/>
    </xf>
    <xf numFmtId="0" fontId="77" fillId="0" borderId="14" xfId="0" applyFont="1" applyBorder="1" applyAlignment="1">
      <alignment horizontal="center" vertical="center"/>
    </xf>
    <xf numFmtId="4" fontId="83" fillId="5" borderId="14" xfId="0" applyNumberFormat="1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top" wrapText="1"/>
    </xf>
    <xf numFmtId="0" fontId="8" fillId="3" borderId="57" xfId="0" applyFont="1" applyFill="1" applyBorder="1" applyAlignment="1">
      <alignment horizontal="center" vertical="top" wrapText="1"/>
    </xf>
    <xf numFmtId="0" fontId="84" fillId="0" borderId="14" xfId="0" applyFont="1" applyBorder="1" applyAlignment="1">
      <alignment horizontal="center"/>
    </xf>
    <xf numFmtId="0" fontId="39" fillId="0" borderId="14" xfId="0" applyFont="1" applyBorder="1" applyAlignment="1">
      <alignment horizontal="center"/>
    </xf>
    <xf numFmtId="0" fontId="39" fillId="0" borderId="23" xfId="0" applyFont="1" applyBorder="1" applyAlignment="1">
      <alignment horizontal="center"/>
    </xf>
    <xf numFmtId="0" fontId="39" fillId="0" borderId="0" xfId="0" applyFont="1" applyAlignment="1">
      <alignment horizontal="center"/>
    </xf>
    <xf numFmtId="4" fontId="8" fillId="0" borderId="56" xfId="0" applyNumberFormat="1" applyFont="1" applyBorder="1" applyAlignment="1">
      <alignment horizontal="center" vertical="center"/>
    </xf>
    <xf numFmtId="4" fontId="8" fillId="5" borderId="56" xfId="0" applyNumberFormat="1" applyFont="1" applyFill="1" applyBorder="1" applyAlignment="1">
      <alignment horizontal="center" vertical="center"/>
    </xf>
    <xf numFmtId="4" fontId="77" fillId="5" borderId="14" xfId="0" applyNumberFormat="1" applyFont="1" applyFill="1" applyBorder="1" applyAlignment="1">
      <alignment horizontal="right" vertical="center" shrinkToFit="1"/>
    </xf>
    <xf numFmtId="4" fontId="2" fillId="0" borderId="14" xfId="0" applyNumberFormat="1" applyFont="1" applyBorder="1"/>
    <xf numFmtId="4" fontId="2" fillId="0" borderId="14" xfId="0" applyNumberFormat="1" applyFont="1" applyBorder="1" applyAlignment="1">
      <alignment horizontal="center"/>
    </xf>
    <xf numFmtId="4" fontId="2" fillId="5" borderId="14" xfId="0" applyNumberFormat="1" applyFont="1" applyFill="1" applyBorder="1" applyAlignment="1">
      <alignment horizontal="center" vertical="center"/>
    </xf>
    <xf numFmtId="4" fontId="2" fillId="5" borderId="19" xfId="0" applyNumberFormat="1" applyFont="1" applyFill="1" applyBorder="1" applyAlignment="1">
      <alignment horizontal="center" vertical="center"/>
    </xf>
    <xf numFmtId="4" fontId="8" fillId="0" borderId="15" xfId="0" applyNumberFormat="1" applyFont="1" applyBorder="1" applyAlignment="1">
      <alignment vertical="center"/>
    </xf>
    <xf numFmtId="4" fontId="8" fillId="5" borderId="15" xfId="0" applyNumberFormat="1" applyFont="1" applyFill="1" applyBorder="1" applyAlignment="1">
      <alignment vertical="center"/>
    </xf>
    <xf numFmtId="4" fontId="86" fillId="0" borderId="14" xfId="0" applyNumberFormat="1" applyFont="1" applyBorder="1"/>
    <xf numFmtId="4" fontId="86" fillId="5" borderId="14" xfId="0" applyNumberFormat="1" applyFont="1" applyFill="1" applyBorder="1"/>
    <xf numFmtId="4" fontId="2" fillId="0" borderId="23" xfId="0" applyNumberFormat="1" applyFont="1" applyBorder="1"/>
    <xf numFmtId="0" fontId="2" fillId="0" borderId="0" xfId="0" applyFont="1"/>
    <xf numFmtId="4" fontId="86" fillId="0" borderId="0" xfId="0" applyNumberFormat="1" applyFont="1"/>
    <xf numFmtId="4" fontId="86" fillId="5" borderId="0" xfId="0" applyNumberFormat="1" applyFont="1" applyFill="1"/>
    <xf numFmtId="4" fontId="2" fillId="0" borderId="0" xfId="0" applyNumberFormat="1" applyFont="1"/>
    <xf numFmtId="4" fontId="50" fillId="5" borderId="14" xfId="0" applyNumberFormat="1" applyFont="1" applyFill="1" applyBorder="1" applyAlignment="1">
      <alignment horizontal="right" vertical="center" shrinkToFit="1"/>
    </xf>
    <xf numFmtId="4" fontId="19" fillId="0" borderId="15" xfId="0" applyNumberFormat="1" applyFont="1" applyBorder="1" applyAlignment="1">
      <alignment vertical="center"/>
    </xf>
    <xf numFmtId="4" fontId="87" fillId="11" borderId="20" xfId="0" applyNumberFormat="1" applyFont="1" applyFill="1" applyBorder="1" applyAlignment="1">
      <alignment vertical="center" wrapText="1"/>
    </xf>
    <xf numFmtId="4" fontId="2" fillId="0" borderId="14" xfId="0" applyNumberFormat="1" applyFont="1" applyBorder="1" applyAlignment="1">
      <alignment horizontal="center" vertical="center"/>
    </xf>
    <xf numFmtId="4" fontId="64" fillId="5" borderId="14" xfId="0" applyNumberFormat="1" applyFont="1" applyFill="1" applyBorder="1" applyAlignment="1">
      <alignment horizontal="right" vertical="center" shrinkToFit="1"/>
    </xf>
    <xf numFmtId="49" fontId="77" fillId="5" borderId="62" xfId="0" applyNumberFormat="1" applyFont="1" applyFill="1" applyBorder="1" applyAlignment="1">
      <alignment horizontal="center" vertical="center" wrapText="1"/>
    </xf>
    <xf numFmtId="4" fontId="6" fillId="3" borderId="55" xfId="0" applyNumberFormat="1" applyFont="1" applyFill="1" applyBorder="1" applyAlignment="1">
      <alignment horizontal="center" vertical="center" wrapText="1"/>
    </xf>
    <xf numFmtId="3" fontId="26" fillId="2" borderId="59" xfId="0" applyNumberFormat="1" applyFont="1" applyFill="1" applyBorder="1" applyAlignment="1">
      <alignment horizontal="center" vertical="center"/>
    </xf>
    <xf numFmtId="4" fontId="79" fillId="2" borderId="16" xfId="0" applyNumberFormat="1" applyFont="1" applyFill="1" applyBorder="1" applyAlignment="1">
      <alignment horizontal="center" vertical="top" wrapText="1"/>
    </xf>
    <xf numFmtId="4" fontId="79" fillId="4" borderId="16" xfId="0" applyNumberFormat="1" applyFont="1" applyFill="1" applyBorder="1" applyAlignment="1">
      <alignment horizontal="justify" vertical="top" wrapText="1"/>
    </xf>
    <xf numFmtId="4" fontId="79" fillId="4" borderId="16" xfId="0" applyNumberFormat="1" applyFont="1" applyFill="1" applyBorder="1" applyAlignment="1">
      <alignment horizontal="center" vertical="center" wrapText="1"/>
    </xf>
    <xf numFmtId="4" fontId="79" fillId="2" borderId="16" xfId="0" applyNumberFormat="1" applyFont="1" applyFill="1" applyBorder="1" applyAlignment="1">
      <alignment horizontal="center" vertical="center" wrapText="1"/>
    </xf>
    <xf numFmtId="4" fontId="79" fillId="5" borderId="16" xfId="0" applyNumberFormat="1" applyFont="1" applyFill="1" applyBorder="1" applyAlignment="1">
      <alignment horizontal="center" vertical="center" wrapText="1"/>
    </xf>
    <xf numFmtId="3" fontId="78" fillId="2" borderId="55" xfId="0" applyNumberFormat="1" applyFont="1" applyFill="1" applyBorder="1" applyAlignment="1">
      <alignment horizontal="center" vertical="center" wrapText="1"/>
    </xf>
    <xf numFmtId="0" fontId="0" fillId="0" borderId="63" xfId="0" applyBorder="1"/>
    <xf numFmtId="0" fontId="64" fillId="5" borderId="23" xfId="0" applyFont="1" applyFill="1" applyBorder="1" applyAlignment="1">
      <alignment vertical="center" wrapText="1"/>
    </xf>
    <xf numFmtId="0" fontId="77" fillId="5" borderId="23" xfId="0" applyFont="1" applyFill="1" applyBorder="1" applyAlignment="1">
      <alignment horizontal="center" vertical="center" wrapText="1"/>
    </xf>
    <xf numFmtId="4" fontId="64" fillId="5" borderId="23" xfId="0" applyNumberFormat="1" applyFont="1" applyFill="1" applyBorder="1" applyAlignment="1">
      <alignment horizontal="center" vertical="center" shrinkToFit="1"/>
    </xf>
    <xf numFmtId="4" fontId="16" fillId="5" borderId="23" xfId="0" applyNumberFormat="1" applyFont="1" applyFill="1" applyBorder="1" applyAlignment="1">
      <alignment horizontal="center" vertical="center" wrapText="1"/>
    </xf>
    <xf numFmtId="4" fontId="16" fillId="14" borderId="23" xfId="0" applyNumberFormat="1" applyFont="1" applyFill="1" applyBorder="1" applyAlignment="1">
      <alignment horizontal="center" vertical="center" wrapText="1"/>
    </xf>
    <xf numFmtId="0" fontId="64" fillId="17" borderId="46" xfId="0" applyFont="1" applyFill="1" applyBorder="1" applyAlignment="1">
      <alignment vertical="center" wrapText="1"/>
    </xf>
    <xf numFmtId="0" fontId="77" fillId="5" borderId="14" xfId="0" applyFont="1" applyFill="1" applyBorder="1" applyAlignment="1">
      <alignment horizontal="center" vertical="center" wrapText="1"/>
    </xf>
    <xf numFmtId="0" fontId="64" fillId="5" borderId="46" xfId="0" applyFont="1" applyFill="1" applyBorder="1" applyAlignment="1">
      <alignment vertical="center" wrapText="1"/>
    </xf>
    <xf numFmtId="0" fontId="16" fillId="14" borderId="55" xfId="0" applyFont="1" applyFill="1" applyBorder="1" applyAlignment="1">
      <alignment vertical="center" wrapText="1"/>
    </xf>
    <xf numFmtId="0" fontId="18" fillId="14" borderId="19" xfId="0" applyFont="1" applyFill="1" applyBorder="1" applyAlignment="1">
      <alignment horizontal="center" vertical="center" wrapText="1"/>
    </xf>
    <xf numFmtId="4" fontId="83" fillId="14" borderId="19" xfId="0" applyNumberFormat="1" applyFont="1" applyFill="1" applyBorder="1" applyAlignment="1">
      <alignment horizontal="center" vertical="center" shrinkToFit="1"/>
    </xf>
    <xf numFmtId="4" fontId="50" fillId="14" borderId="19" xfId="0" applyNumberFormat="1" applyFont="1" applyFill="1" applyBorder="1" applyAlignment="1">
      <alignment horizontal="right" vertical="center" shrinkToFit="1"/>
    </xf>
    <xf numFmtId="4" fontId="61" fillId="14" borderId="19" xfId="0" applyNumberFormat="1" applyFont="1" applyFill="1" applyBorder="1" applyAlignment="1">
      <alignment horizontal="center" vertical="center" shrinkToFit="1"/>
    </xf>
    <xf numFmtId="0" fontId="16" fillId="5" borderId="46" xfId="0" applyFont="1" applyFill="1" applyBorder="1" applyAlignment="1">
      <alignment vertical="center" wrapText="1"/>
    </xf>
    <xf numFmtId="0" fontId="18" fillId="2" borderId="14" xfId="0" applyFont="1" applyFill="1" applyBorder="1" applyAlignment="1">
      <alignment horizontal="center" vertical="center" wrapText="1"/>
    </xf>
    <xf numFmtId="4" fontId="16" fillId="5" borderId="14" xfId="0" applyNumberFormat="1" applyFont="1" applyFill="1" applyBorder="1" applyAlignment="1">
      <alignment horizontal="center" vertical="center" wrapText="1"/>
    </xf>
    <xf numFmtId="0" fontId="83" fillId="5" borderId="23" xfId="0" applyFont="1" applyFill="1" applyBorder="1" applyAlignment="1">
      <alignment horizontal="center" vertical="center" shrinkToFit="1"/>
    </xf>
    <xf numFmtId="0" fontId="90" fillId="5" borderId="23" xfId="0" applyFont="1" applyFill="1" applyBorder="1" applyAlignment="1">
      <alignment horizontal="left" vertical="center" wrapText="1"/>
    </xf>
    <xf numFmtId="1" fontId="83" fillId="5" borderId="23" xfId="0" applyNumberFormat="1" applyFont="1" applyFill="1" applyBorder="1" applyAlignment="1">
      <alignment horizontal="center" vertical="center" shrinkToFit="1"/>
    </xf>
    <xf numFmtId="4" fontId="64" fillId="5" borderId="14" xfId="4" applyNumberFormat="1" applyFont="1" applyFill="1" applyBorder="1" applyAlignment="1">
      <alignment vertical="center"/>
    </xf>
    <xf numFmtId="4" fontId="64" fillId="4" borderId="14" xfId="0" applyNumberFormat="1" applyFont="1" applyFill="1" applyBorder="1" applyAlignment="1">
      <alignment horizontal="center" vertical="center" shrinkToFit="1"/>
    </xf>
    <xf numFmtId="0" fontId="83" fillId="5" borderId="14" xfId="0" applyFont="1" applyFill="1" applyBorder="1" applyAlignment="1">
      <alignment horizontal="center" vertical="center" shrinkToFit="1"/>
    </xf>
    <xf numFmtId="0" fontId="90" fillId="5" borderId="14" xfId="0" applyFont="1" applyFill="1" applyBorder="1" applyAlignment="1">
      <alignment horizontal="left" vertical="center" wrapText="1"/>
    </xf>
    <xf numFmtId="1" fontId="83" fillId="5" borderId="14" xfId="0" applyNumberFormat="1" applyFont="1" applyFill="1" applyBorder="1" applyAlignment="1">
      <alignment horizontal="center" vertical="center" shrinkToFit="1"/>
    </xf>
    <xf numFmtId="4" fontId="0" fillId="5" borderId="14" xfId="0" applyNumberFormat="1" applyFont="1" applyFill="1" applyBorder="1" applyAlignment="1">
      <alignment horizontal="center" vertical="center"/>
    </xf>
    <xf numFmtId="0" fontId="90" fillId="0" borderId="14" xfId="0" applyFont="1" applyBorder="1" applyAlignment="1">
      <alignment horizontal="left" vertical="center" wrapText="1"/>
    </xf>
    <xf numFmtId="0" fontId="83" fillId="5" borderId="19" xfId="0" applyFont="1" applyFill="1" applyBorder="1" applyAlignment="1">
      <alignment horizontal="center" vertical="center" shrinkToFit="1"/>
    </xf>
    <xf numFmtId="0" fontId="90" fillId="0" borderId="19" xfId="0" applyFont="1" applyBorder="1" applyAlignment="1">
      <alignment horizontal="left" vertical="center" wrapText="1"/>
    </xf>
    <xf numFmtId="1" fontId="83" fillId="5" borderId="19" xfId="0" applyNumberFormat="1" applyFont="1" applyFill="1" applyBorder="1" applyAlignment="1">
      <alignment horizontal="center" vertical="center" shrinkToFit="1"/>
    </xf>
    <xf numFmtId="4" fontId="64" fillId="5" borderId="19" xfId="0" applyNumberFormat="1" applyFont="1" applyFill="1" applyBorder="1" applyAlignment="1">
      <alignment horizontal="center" vertical="center" shrinkToFit="1"/>
    </xf>
    <xf numFmtId="4" fontId="64" fillId="7" borderId="19" xfId="0" applyNumberFormat="1" applyFont="1" applyFill="1" applyBorder="1" applyAlignment="1">
      <alignment horizontal="center" vertical="center" shrinkToFit="1"/>
    </xf>
    <xf numFmtId="4" fontId="16" fillId="3" borderId="58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50" fillId="5" borderId="60" xfId="0" applyFont="1" applyFill="1" applyBorder="1" applyAlignment="1">
      <alignment horizontal="left" vertical="center" wrapText="1"/>
    </xf>
    <xf numFmtId="0" fontId="18" fillId="0" borderId="14" xfId="0" applyFont="1" applyBorder="1" applyAlignment="1">
      <alignment horizontal="center" vertical="center"/>
    </xf>
    <xf numFmtId="4" fontId="16" fillId="0" borderId="53" xfId="0" applyNumberFormat="1" applyFont="1" applyBorder="1" applyAlignment="1">
      <alignment horizontal="center" vertical="center"/>
    </xf>
    <xf numFmtId="4" fontId="16" fillId="0" borderId="22" xfId="0" applyNumberFormat="1" applyFont="1" applyBorder="1" applyAlignment="1">
      <alignment horizontal="center" vertical="center"/>
    </xf>
    <xf numFmtId="4" fontId="16" fillId="5" borderId="22" xfId="0" applyNumberFormat="1" applyFont="1" applyFill="1" applyBorder="1" applyAlignment="1">
      <alignment horizontal="center" vertical="center"/>
    </xf>
    <xf numFmtId="0" fontId="77" fillId="0" borderId="14" xfId="0" applyFont="1" applyBorder="1" applyAlignment="1">
      <alignment horizontal="center" vertical="center" shrinkToFit="1"/>
    </xf>
    <xf numFmtId="0" fontId="50" fillId="5" borderId="14" xfId="0" applyFont="1" applyFill="1" applyBorder="1" applyAlignment="1">
      <alignment horizontal="left" vertical="center" wrapText="1"/>
    </xf>
    <xf numFmtId="0" fontId="77" fillId="0" borderId="23" xfId="0" applyFont="1" applyBorder="1" applyAlignment="1">
      <alignment horizontal="center" vertical="center" shrinkToFit="1"/>
    </xf>
    <xf numFmtId="4" fontId="50" fillId="0" borderId="14" xfId="0" applyNumberFormat="1" applyFont="1" applyBorder="1" applyAlignment="1">
      <alignment horizontal="center" vertical="center" shrinkToFit="1"/>
    </xf>
    <xf numFmtId="4" fontId="50" fillId="13" borderId="14" xfId="0" applyNumberFormat="1" applyFont="1" applyFill="1" applyBorder="1" applyAlignment="1">
      <alignment horizontal="center" vertical="center" shrinkToFit="1"/>
    </xf>
    <xf numFmtId="4" fontId="18" fillId="3" borderId="46" xfId="0" applyNumberFormat="1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top" wrapText="1"/>
    </xf>
    <xf numFmtId="0" fontId="85" fillId="3" borderId="14" xfId="0" applyFont="1" applyFill="1" applyBorder="1" applyAlignment="1">
      <alignment horizontal="center" vertical="center"/>
    </xf>
    <xf numFmtId="0" fontId="18" fillId="3" borderId="56" xfId="0" applyFont="1" applyFill="1" applyBorder="1" applyAlignment="1">
      <alignment horizontal="center" vertical="center" wrapText="1"/>
    </xf>
    <xf numFmtId="0" fontId="83" fillId="5" borderId="61" xfId="0" applyFont="1" applyFill="1" applyBorder="1" applyAlignment="1">
      <alignment horizontal="center" vertical="center" shrinkToFit="1"/>
    </xf>
    <xf numFmtId="4" fontId="0" fillId="5" borderId="0" xfId="0" applyNumberFormat="1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8" fillId="9" borderId="45" xfId="0" applyFont="1" applyFill="1" applyBorder="1" applyAlignment="1">
      <alignment horizontal="center" vertical="center" wrapText="1"/>
    </xf>
    <xf numFmtId="0" fontId="18" fillId="9" borderId="56" xfId="0" applyFont="1" applyFill="1" applyBorder="1" applyAlignment="1">
      <alignment horizontal="center" vertical="center" wrapText="1"/>
    </xf>
    <xf numFmtId="0" fontId="18" fillId="9" borderId="46" xfId="0" applyFont="1" applyFill="1" applyBorder="1" applyAlignment="1">
      <alignment horizontal="center" vertical="center" wrapText="1"/>
    </xf>
    <xf numFmtId="0" fontId="88" fillId="2" borderId="61" xfId="0" applyFont="1" applyFill="1" applyBorder="1" applyAlignment="1">
      <alignment horizontal="center" vertical="center"/>
    </xf>
    <xf numFmtId="0" fontId="88" fillId="2" borderId="16" xfId="0" applyFont="1" applyFill="1" applyBorder="1" applyAlignment="1">
      <alignment horizontal="center" vertical="center"/>
    </xf>
    <xf numFmtId="0" fontId="88" fillId="2" borderId="55" xfId="0" applyFont="1" applyFill="1" applyBorder="1" applyAlignment="1">
      <alignment horizontal="center" vertical="center"/>
    </xf>
    <xf numFmtId="0" fontId="88" fillId="2" borderId="63" xfId="0" applyFont="1" applyFill="1" applyBorder="1" applyAlignment="1">
      <alignment horizontal="center" vertical="center"/>
    </xf>
    <xf numFmtId="0" fontId="88" fillId="2" borderId="0" xfId="0" applyFont="1" applyFill="1" applyBorder="1" applyAlignment="1">
      <alignment horizontal="center" vertical="center"/>
    </xf>
    <xf numFmtId="0" fontId="88" fillId="2" borderId="59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left"/>
    </xf>
    <xf numFmtId="4" fontId="49" fillId="2" borderId="17" xfId="0" applyNumberFormat="1" applyFont="1" applyFill="1" applyBorder="1" applyAlignment="1">
      <alignment vertical="center"/>
    </xf>
    <xf numFmtId="4" fontId="49" fillId="2" borderId="18" xfId="0" applyNumberFormat="1" applyFont="1" applyFill="1" applyBorder="1" applyAlignment="1">
      <alignment vertical="center"/>
    </xf>
    <xf numFmtId="0" fontId="23" fillId="2" borderId="0" xfId="0" applyFont="1" applyFill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4" fontId="49" fillId="2" borderId="37" xfId="0" applyNumberFormat="1" applyFont="1" applyFill="1" applyBorder="1" applyAlignment="1">
      <alignment vertical="center"/>
    </xf>
    <xf numFmtId="4" fontId="49" fillId="2" borderId="38" xfId="0" applyNumberFormat="1" applyFont="1" applyFill="1" applyBorder="1" applyAlignment="1">
      <alignment vertical="center"/>
    </xf>
    <xf numFmtId="0" fontId="23" fillId="2" borderId="54" xfId="0" applyFont="1" applyFill="1" applyBorder="1" applyAlignment="1">
      <alignment horizontal="center" vertical="center" wrapText="1"/>
    </xf>
    <xf numFmtId="4" fontId="49" fillId="2" borderId="29" xfId="0" applyNumberFormat="1" applyFont="1" applyFill="1" applyBorder="1" applyAlignment="1">
      <alignment vertical="center"/>
    </xf>
    <xf numFmtId="4" fontId="49" fillId="2" borderId="31" xfId="0" applyNumberFormat="1" applyFont="1" applyFill="1" applyBorder="1" applyAlignment="1">
      <alignment vertical="center"/>
    </xf>
    <xf numFmtId="0" fontId="26" fillId="12" borderId="29" xfId="0" applyFont="1" applyFill="1" applyBorder="1" applyAlignment="1">
      <alignment horizontal="center" vertical="center"/>
    </xf>
    <xf numFmtId="0" fontId="26" fillId="12" borderId="30" xfId="0" applyFont="1" applyFill="1" applyBorder="1" applyAlignment="1">
      <alignment horizontal="center" vertical="center"/>
    </xf>
    <xf numFmtId="0" fontId="26" fillId="12" borderId="31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 wrapText="1"/>
    </xf>
    <xf numFmtId="0" fontId="28" fillId="2" borderId="3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4" fontId="40" fillId="11" borderId="39" xfId="0" applyNumberFormat="1" applyFont="1" applyFill="1" applyBorder="1" applyAlignment="1">
      <alignment horizontal="center" vertical="center" wrapText="1"/>
    </xf>
    <xf numFmtId="0" fontId="40" fillId="11" borderId="40" xfId="0" applyFont="1" applyFill="1" applyBorder="1" applyAlignment="1">
      <alignment horizontal="center" vertical="center" wrapText="1"/>
    </xf>
    <xf numFmtId="4" fontId="26" fillId="10" borderId="17" xfId="0" applyNumberFormat="1" applyFont="1" applyFill="1" applyBorder="1" applyAlignment="1">
      <alignment horizontal="center" vertical="center" wrapText="1"/>
    </xf>
    <xf numFmtId="4" fontId="26" fillId="10" borderId="44" xfId="0" applyNumberFormat="1" applyFont="1" applyFill="1" applyBorder="1" applyAlignment="1">
      <alignment horizontal="center" vertical="center" wrapText="1"/>
    </xf>
    <xf numFmtId="4" fontId="18" fillId="2" borderId="17" xfId="0" applyNumberFormat="1" applyFont="1" applyFill="1" applyBorder="1" applyAlignment="1">
      <alignment horizontal="center" vertical="center"/>
    </xf>
    <xf numFmtId="4" fontId="18" fillId="2" borderId="18" xfId="0" applyNumberFormat="1" applyFont="1" applyFill="1" applyBorder="1" applyAlignment="1">
      <alignment horizontal="center" vertical="center"/>
    </xf>
    <xf numFmtId="4" fontId="27" fillId="2" borderId="35" xfId="0" applyNumberFormat="1" applyFont="1" applyFill="1" applyBorder="1" applyAlignment="1">
      <alignment horizontal="center" vertical="center"/>
    </xf>
    <xf numFmtId="4" fontId="27" fillId="2" borderId="36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justify"/>
    </xf>
    <xf numFmtId="0" fontId="24" fillId="2" borderId="0" xfId="0" applyFont="1" applyFill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9" borderId="11" xfId="0" applyFont="1" applyFill="1" applyBorder="1" applyAlignment="1">
      <alignment horizontal="left" vertical="center" wrapText="1"/>
    </xf>
    <xf numFmtId="0" fontId="5" fillId="9" borderId="12" xfId="0" applyFont="1" applyFill="1" applyBorder="1" applyAlignment="1">
      <alignment horizontal="left" vertical="center" wrapText="1"/>
    </xf>
    <xf numFmtId="0" fontId="5" fillId="9" borderId="13" xfId="0" applyFont="1" applyFill="1" applyBorder="1" applyAlignment="1">
      <alignment horizontal="left" vertical="center" wrapText="1"/>
    </xf>
    <xf numFmtId="0" fontId="23" fillId="2" borderId="52" xfId="0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 wrapText="1"/>
    </xf>
    <xf numFmtId="0" fontId="23" fillId="2" borderId="53" xfId="0" applyFont="1" applyFill="1" applyBorder="1" applyAlignment="1">
      <alignment horizontal="center" vertical="center" wrapText="1"/>
    </xf>
    <xf numFmtId="0" fontId="59" fillId="5" borderId="35" xfId="0" applyFont="1" applyFill="1" applyBorder="1" applyAlignment="1">
      <alignment horizontal="center" vertical="center" wrapText="1"/>
    </xf>
    <xf numFmtId="0" fontId="59" fillId="5" borderId="50" xfId="0" applyFont="1" applyFill="1" applyBorder="1" applyAlignment="1">
      <alignment horizontal="center" vertical="center" wrapText="1"/>
    </xf>
    <xf numFmtId="0" fontId="59" fillId="5" borderId="51" xfId="0" applyFont="1" applyFill="1" applyBorder="1" applyAlignment="1">
      <alignment horizontal="center" vertical="center" wrapText="1"/>
    </xf>
    <xf numFmtId="0" fontId="25" fillId="9" borderId="11" xfId="0" applyFont="1" applyFill="1" applyBorder="1" applyAlignment="1">
      <alignment horizontal="left" vertical="center" wrapText="1"/>
    </xf>
    <xf numFmtId="0" fontId="25" fillId="9" borderId="12" xfId="0" applyFont="1" applyFill="1" applyBorder="1" applyAlignment="1">
      <alignment horizontal="left" vertical="center" wrapText="1"/>
    </xf>
    <xf numFmtId="0" fontId="25" fillId="9" borderId="1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0" xfId="0" applyFont="1"/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horizontal="center"/>
    </xf>
  </cellXfs>
  <cellStyles count="8">
    <cellStyle name="Звичайни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  <cellStyle name="Обычный 2 3 2" xfId="7" xr:uid="{00000000-0005-0000-0000-000005000000}"/>
    <cellStyle name="Обычный 2 4" xfId="6" xr:uid="{00000000-0005-0000-0000-000006000000}"/>
    <cellStyle name="Обычный 2 5" xfId="5" xr:uid="{00000000-0005-0000-0000-000007000000}"/>
    <cellStyle name="Обычный_shabl_dod" xfId="4" xr:uid="{00000000-0005-0000-0000-000008000000}"/>
  </cellStyles>
  <dxfs count="16"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EE4069"/>
      <color rgb="FFFB818D"/>
      <color rgb="FFC20E82"/>
      <color rgb="FFB11FB1"/>
      <color rgb="FF7F4090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C6CB1-B88C-44EC-8539-8AC53ABF263C}">
  <sheetPr>
    <pageSetUpPr fitToPage="1"/>
  </sheetPr>
  <dimension ref="A1:R141"/>
  <sheetViews>
    <sheetView tabSelected="1" workbookViewId="0">
      <selection activeCell="A5" sqref="A5:P6"/>
    </sheetView>
  </sheetViews>
  <sheetFormatPr defaultRowHeight="15" x14ac:dyDescent="0.25"/>
  <cols>
    <col min="1" max="1" width="7" style="364" customWidth="1"/>
    <col min="2" max="2" width="67.42578125" style="377" customWidth="1"/>
    <col min="3" max="3" width="17.5703125" style="377" customWidth="1"/>
    <col min="4" max="4" width="11.5703125" style="377" hidden="1" customWidth="1"/>
    <col min="5" max="5" width="11.85546875" style="377" hidden="1" customWidth="1"/>
    <col min="6" max="6" width="11" style="377" hidden="1" customWidth="1"/>
    <col min="7" max="7" width="10.5703125" style="377" hidden="1" customWidth="1"/>
    <col min="8" max="8" width="11.42578125" style="377" hidden="1" customWidth="1"/>
    <col min="9" max="9" width="11.140625" style="377" hidden="1" customWidth="1"/>
    <col min="10" max="10" width="11.85546875" style="377" hidden="1" customWidth="1"/>
    <col min="11" max="11" width="10.5703125" style="377" hidden="1" customWidth="1"/>
    <col min="12" max="12" width="11.28515625" style="377" hidden="1" customWidth="1"/>
    <col min="13" max="13" width="11.85546875" style="377" hidden="1" customWidth="1"/>
    <col min="14" max="14" width="11.140625" style="377" hidden="1" customWidth="1"/>
    <col min="15" max="15" width="12" style="377" hidden="1" customWidth="1"/>
    <col min="16" max="16" width="21.140625" style="377" customWidth="1"/>
    <col min="17" max="17" width="13.7109375" hidden="1" customWidth="1"/>
  </cols>
  <sheetData>
    <row r="1" spans="1:18" x14ac:dyDescent="0.25"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</row>
    <row r="2" spans="1:18" x14ac:dyDescent="0.25">
      <c r="B2" s="502" t="s">
        <v>541</v>
      </c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</row>
    <row r="3" spans="1:18" x14ac:dyDescent="0.25">
      <c r="B3" s="501" t="s">
        <v>542</v>
      </c>
      <c r="P3" s="377">
        <v>31692820</v>
      </c>
    </row>
    <row r="4" spans="1:18" x14ac:dyDescent="0.25">
      <c r="B4" s="501"/>
    </row>
    <row r="5" spans="1:18" x14ac:dyDescent="0.25">
      <c r="A5" s="450" t="s">
        <v>528</v>
      </c>
      <c r="B5" s="451"/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  <c r="O5" s="451"/>
      <c r="P5" s="452"/>
      <c r="Q5" s="321"/>
    </row>
    <row r="6" spans="1:18" x14ac:dyDescent="0.25">
      <c r="A6" s="453"/>
      <c r="B6" s="454"/>
      <c r="C6" s="454"/>
      <c r="D6" s="454"/>
      <c r="E6" s="454"/>
      <c r="F6" s="454"/>
      <c r="G6" s="454"/>
      <c r="H6" s="454"/>
      <c r="I6" s="454"/>
      <c r="J6" s="454"/>
      <c r="K6" s="454"/>
      <c r="L6" s="454"/>
      <c r="M6" s="454"/>
      <c r="N6" s="454"/>
      <c r="O6" s="454"/>
      <c r="P6" s="455"/>
      <c r="Q6" s="355" t="s">
        <v>504</v>
      </c>
    </row>
    <row r="7" spans="1:18" ht="26.25" customHeight="1" x14ac:dyDescent="0.25">
      <c r="A7" s="440" t="s">
        <v>4</v>
      </c>
      <c r="B7" s="442" t="s">
        <v>538</v>
      </c>
      <c r="C7" s="441" t="s">
        <v>6</v>
      </c>
      <c r="D7" s="365" t="s">
        <v>7</v>
      </c>
      <c r="E7" s="366" t="s">
        <v>8</v>
      </c>
      <c r="F7" s="366" t="s">
        <v>9</v>
      </c>
      <c r="G7" s="366" t="s">
        <v>10</v>
      </c>
      <c r="H7" s="366" t="s">
        <v>11</v>
      </c>
      <c r="I7" s="366" t="s">
        <v>12</v>
      </c>
      <c r="J7" s="366" t="s">
        <v>13</v>
      </c>
      <c r="K7" s="366" t="s">
        <v>14</v>
      </c>
      <c r="L7" s="366" t="s">
        <v>15</v>
      </c>
      <c r="M7" s="366" t="s">
        <v>16</v>
      </c>
      <c r="N7" s="366" t="s">
        <v>17</v>
      </c>
      <c r="O7" s="366" t="s">
        <v>18</v>
      </c>
      <c r="P7" s="439" t="s">
        <v>524</v>
      </c>
      <c r="Q7" s="387" t="s">
        <v>500</v>
      </c>
    </row>
    <row r="8" spans="1:18" x14ac:dyDescent="0.25">
      <c r="A8" s="361">
        <v>1</v>
      </c>
      <c r="B8" s="359">
        <v>2</v>
      </c>
      <c r="C8" s="359">
        <v>3</v>
      </c>
      <c r="D8" s="389"/>
      <c r="E8" s="390"/>
      <c r="F8" s="391"/>
      <c r="G8" s="392"/>
      <c r="H8" s="392"/>
      <c r="I8" s="393"/>
      <c r="J8" s="393"/>
      <c r="K8" s="393"/>
      <c r="L8" s="393"/>
      <c r="M8" s="393"/>
      <c r="N8" s="393"/>
      <c r="O8" s="393"/>
      <c r="P8" s="394">
        <v>4</v>
      </c>
      <c r="Q8" s="388">
        <v>8</v>
      </c>
    </row>
    <row r="9" spans="1:18" ht="30" customHeight="1" x14ac:dyDescent="0.25">
      <c r="A9" s="447" t="s">
        <v>527</v>
      </c>
      <c r="B9" s="448"/>
      <c r="C9" s="448"/>
      <c r="D9" s="448"/>
      <c r="E9" s="448"/>
      <c r="F9" s="448"/>
      <c r="G9" s="448"/>
      <c r="H9" s="448"/>
      <c r="I9" s="448"/>
      <c r="J9" s="448"/>
      <c r="K9" s="448"/>
      <c r="L9" s="448"/>
      <c r="M9" s="448"/>
      <c r="N9" s="448"/>
      <c r="O9" s="448"/>
      <c r="P9" s="448"/>
      <c r="Q9" s="448"/>
      <c r="R9" s="395"/>
    </row>
    <row r="10" spans="1:18" ht="36" hidden="1" customHeight="1" x14ac:dyDescent="0.25">
      <c r="A10" s="386"/>
      <c r="B10" s="396" t="s">
        <v>430</v>
      </c>
      <c r="C10" s="397">
        <v>2240</v>
      </c>
      <c r="D10" s="398"/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O10" s="398"/>
      <c r="P10" s="399"/>
      <c r="Q10" s="400"/>
    </row>
    <row r="11" spans="1:18" ht="32.25" customHeight="1" x14ac:dyDescent="0.25">
      <c r="A11" s="362">
        <v>1</v>
      </c>
      <c r="B11" s="401" t="s">
        <v>431</v>
      </c>
      <c r="C11" s="402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81"/>
      <c r="Q11" s="289"/>
    </row>
    <row r="12" spans="1:18" ht="37.5" customHeight="1" x14ac:dyDescent="0.25">
      <c r="A12" s="363">
        <f>A11+1</f>
        <v>2</v>
      </c>
      <c r="B12" s="403" t="s">
        <v>434</v>
      </c>
      <c r="C12" s="402">
        <v>2240</v>
      </c>
      <c r="D12" s="209">
        <v>0.04</v>
      </c>
      <c r="E12" s="209">
        <v>90000</v>
      </c>
      <c r="F12" s="209"/>
      <c r="G12" s="209">
        <v>286088</v>
      </c>
      <c r="H12" s="209">
        <v>1295000</v>
      </c>
      <c r="I12" s="209">
        <v>1295000</v>
      </c>
      <c r="J12" s="209">
        <f>346237-169568.68</f>
        <v>176668.32</v>
      </c>
      <c r="K12" s="209"/>
      <c r="L12" s="209"/>
      <c r="M12" s="209"/>
      <c r="N12" s="209"/>
      <c r="O12" s="209"/>
      <c r="P12" s="381">
        <f>7265.3+308289.34+407684.83+407684.83+247522.32+511461.03+15909.52+625303.07+9557.03+581886.26+8557.89</f>
        <v>3131121.4200000004</v>
      </c>
      <c r="Q12" s="289"/>
    </row>
    <row r="13" spans="1:18" ht="42.75" customHeight="1" x14ac:dyDescent="0.25">
      <c r="A13" s="363">
        <f t="shared" ref="A13:A63" si="0">A12+1</f>
        <v>3</v>
      </c>
      <c r="B13" s="403" t="s">
        <v>441</v>
      </c>
      <c r="C13" s="402">
        <v>2240</v>
      </c>
      <c r="D13" s="209"/>
      <c r="E13" s="209">
        <f>100000-17088-10680</f>
        <v>72232</v>
      </c>
      <c r="F13" s="209">
        <v>5155</v>
      </c>
      <c r="G13" s="209">
        <v>179084</v>
      </c>
      <c r="H13" s="209">
        <v>624583</v>
      </c>
      <c r="I13" s="209">
        <v>2197327</v>
      </c>
      <c r="J13" s="209">
        <v>3280165</v>
      </c>
      <c r="K13" s="209">
        <v>81435.070000000007</v>
      </c>
      <c r="L13" s="209"/>
      <c r="M13" s="209">
        <v>476500.07</v>
      </c>
      <c r="N13" s="209"/>
      <c r="O13" s="209"/>
      <c r="P13" s="381">
        <f>38881+1644577.84+25085.85+4007921.1+61279.57+652551.71+9683.65+476500.42</f>
        <v>6916481.1400000006</v>
      </c>
      <c r="Q13" s="289">
        <f>6408+32473+1644577.84+25085.85+4007921.1+61279.57+652551.71+9683.65+476500.42</f>
        <v>6916481.1400000006</v>
      </c>
    </row>
    <row r="14" spans="1:18" ht="119.25" customHeight="1" x14ac:dyDescent="0.25">
      <c r="A14" s="363">
        <f t="shared" si="0"/>
        <v>4</v>
      </c>
      <c r="B14" s="403" t="s">
        <v>442</v>
      </c>
      <c r="C14" s="402">
        <v>2240</v>
      </c>
      <c r="D14" s="209"/>
      <c r="E14" s="209"/>
      <c r="F14" s="209"/>
      <c r="G14" s="209"/>
      <c r="H14" s="209">
        <v>1299972.73</v>
      </c>
      <c r="I14" s="209">
        <v>444.04</v>
      </c>
      <c r="J14" s="209">
        <v>199992</v>
      </c>
      <c r="K14" s="209">
        <v>800000</v>
      </c>
      <c r="L14" s="209"/>
      <c r="M14" s="209">
        <v>1127042.04</v>
      </c>
      <c r="N14" s="209">
        <v>1955151.19</v>
      </c>
      <c r="O14" s="209"/>
      <c r="P14" s="381">
        <f>15970.41+749691.6+1282859.13+1371136.8+1606132.8+38588.06+217998+2844.41</f>
        <v>5285221.21</v>
      </c>
      <c r="Q14" s="289">
        <f>15970.41+749691.6+1256858.4+26000.73+1371136.8+1606132.8+38588.06+217998+2844.41</f>
        <v>5285221.21</v>
      </c>
    </row>
    <row r="15" spans="1:18" ht="38.25" customHeight="1" x14ac:dyDescent="0.25">
      <c r="A15" s="363">
        <f t="shared" si="0"/>
        <v>5</v>
      </c>
      <c r="B15" s="403" t="s">
        <v>443</v>
      </c>
      <c r="C15" s="402">
        <v>2240</v>
      </c>
      <c r="D15" s="209"/>
      <c r="E15" s="209">
        <v>780257</v>
      </c>
      <c r="F15" s="209">
        <v>2831</v>
      </c>
      <c r="G15" s="209"/>
      <c r="H15" s="209">
        <v>199170.51</v>
      </c>
      <c r="I15" s="209">
        <f>30000-17088</f>
        <v>12912</v>
      </c>
      <c r="J15" s="209">
        <v>200008</v>
      </c>
      <c r="K15" s="209"/>
      <c r="L15" s="209"/>
      <c r="M15" s="209"/>
      <c r="N15" s="209"/>
      <c r="O15" s="209"/>
      <c r="P15" s="381">
        <f>17088+1160923+17166.64</f>
        <v>1195177.6399999999</v>
      </c>
      <c r="Q15" s="289">
        <f>17088+1160923+17166.64</f>
        <v>1195177.6399999999</v>
      </c>
    </row>
    <row r="16" spans="1:18" ht="39" customHeight="1" x14ac:dyDescent="0.25">
      <c r="A16" s="363">
        <f t="shared" si="0"/>
        <v>6</v>
      </c>
      <c r="B16" s="403" t="s">
        <v>444</v>
      </c>
      <c r="C16" s="402">
        <v>2240</v>
      </c>
      <c r="D16" s="209"/>
      <c r="E16" s="209"/>
      <c r="F16" s="209"/>
      <c r="G16" s="209"/>
      <c r="H16" s="209"/>
      <c r="I16" s="344">
        <v>393292.56</v>
      </c>
      <c r="J16" s="209"/>
      <c r="K16" s="209"/>
      <c r="L16" s="345">
        <f>970000-500000-470000</f>
        <v>0</v>
      </c>
      <c r="M16" s="209"/>
      <c r="N16" s="209"/>
      <c r="O16" s="209"/>
      <c r="P16" s="381">
        <f>5446.8+372194.78+227.18+15423.6</f>
        <v>393292.36</v>
      </c>
      <c r="Q16" s="289">
        <f>5446.8+366760.8+5433.98+227.18+15423.6</f>
        <v>393292.35999999993</v>
      </c>
    </row>
    <row r="17" spans="1:17" ht="41.25" customHeight="1" x14ac:dyDescent="0.25">
      <c r="A17" s="363">
        <f t="shared" si="0"/>
        <v>7</v>
      </c>
      <c r="B17" s="403" t="s">
        <v>445</v>
      </c>
      <c r="C17" s="402">
        <v>2240</v>
      </c>
      <c r="D17" s="209"/>
      <c r="E17" s="209"/>
      <c r="F17" s="209"/>
      <c r="G17" s="209"/>
      <c r="H17" s="209">
        <v>817615.27</v>
      </c>
      <c r="I17" s="209">
        <v>28322</v>
      </c>
      <c r="J17" s="209"/>
      <c r="K17" s="209">
        <v>2500000</v>
      </c>
      <c r="L17" s="209"/>
      <c r="M17" s="209">
        <v>834080.73</v>
      </c>
      <c r="N17" s="209">
        <v>2599828.2000000002</v>
      </c>
      <c r="O17" s="209"/>
      <c r="P17" s="381">
        <f>6408+32040+1301469.6+16678+391858.8+5018.65+525650.4+6852</f>
        <v>2285975.4500000002</v>
      </c>
      <c r="Q17" s="289">
        <f>6408+32040+1301469.6+16678+391858.8+5018.65+525650.4+6852</f>
        <v>2285975.4500000002</v>
      </c>
    </row>
    <row r="18" spans="1:17" ht="37.5" customHeight="1" x14ac:dyDescent="0.25">
      <c r="A18" s="363">
        <f t="shared" si="0"/>
        <v>8</v>
      </c>
      <c r="B18" s="403" t="s">
        <v>505</v>
      </c>
      <c r="C18" s="402">
        <v>2240</v>
      </c>
      <c r="D18" s="209"/>
      <c r="E18" s="209">
        <v>316333</v>
      </c>
      <c r="F18" s="345">
        <v>8900</v>
      </c>
      <c r="G18" s="209"/>
      <c r="H18" s="209">
        <v>1483667</v>
      </c>
      <c r="I18" s="209"/>
      <c r="J18" s="209"/>
      <c r="K18" s="209"/>
      <c r="L18" s="345"/>
      <c r="M18" s="345">
        <v>89598.6</v>
      </c>
      <c r="N18" s="209"/>
      <c r="O18" s="209"/>
      <c r="P18" s="381">
        <f>8900+1783912.8+24309.22</f>
        <v>1817122.02</v>
      </c>
      <c r="Q18" s="289">
        <f>8900+1783912.8+24309.22</f>
        <v>1817122.02</v>
      </c>
    </row>
    <row r="19" spans="1:17" ht="41.25" customHeight="1" x14ac:dyDescent="0.25">
      <c r="A19" s="363">
        <f t="shared" si="0"/>
        <v>9</v>
      </c>
      <c r="B19" s="403" t="s">
        <v>449</v>
      </c>
      <c r="C19" s="402">
        <v>2240</v>
      </c>
      <c r="D19" s="209"/>
      <c r="E19" s="343">
        <v>200000</v>
      </c>
      <c r="F19" s="345">
        <f>200000-27672</f>
        <v>172328</v>
      </c>
      <c r="G19" s="209"/>
      <c r="H19" s="209"/>
      <c r="I19" s="343"/>
      <c r="J19" s="209"/>
      <c r="K19" s="209"/>
      <c r="L19" s="209"/>
      <c r="M19" s="209">
        <v>867672</v>
      </c>
      <c r="N19" s="209">
        <v>446641</v>
      </c>
      <c r="O19" s="209"/>
      <c r="P19" s="381">
        <f>318767+4595+1151332+16350.82</f>
        <v>1491044.82</v>
      </c>
      <c r="Q19" s="289">
        <f>318767+4595+1151332+16350.82</f>
        <v>1491044.82</v>
      </c>
    </row>
    <row r="20" spans="1:17" ht="50.25" customHeight="1" x14ac:dyDescent="0.25">
      <c r="A20" s="363">
        <f t="shared" si="0"/>
        <v>10</v>
      </c>
      <c r="B20" s="403" t="s">
        <v>458</v>
      </c>
      <c r="C20" s="402">
        <v>2240</v>
      </c>
      <c r="D20" s="209"/>
      <c r="E20" s="343">
        <v>10731</v>
      </c>
      <c r="F20" s="209"/>
      <c r="G20" s="209"/>
      <c r="H20" s="209">
        <v>200046</v>
      </c>
      <c r="I20" s="343">
        <f>10731+120632-80000-50000</f>
        <v>1363</v>
      </c>
      <c r="J20" s="343">
        <f>220000-200000-20000</f>
        <v>0</v>
      </c>
      <c r="K20" s="209">
        <v>10731</v>
      </c>
      <c r="L20" s="343"/>
      <c r="M20" s="343">
        <v>1882790</v>
      </c>
      <c r="N20" s="343"/>
      <c r="O20" s="209">
        <v>690000</v>
      </c>
      <c r="P20" s="381">
        <f>10731+1783131.15+558796.8+6889.05</f>
        <v>2359548</v>
      </c>
      <c r="Q20" s="289">
        <f>10731+1761304.8+21826.35+558796.8+6889.05</f>
        <v>2359548</v>
      </c>
    </row>
    <row r="21" spans="1:17" ht="36.75" customHeight="1" x14ac:dyDescent="0.25">
      <c r="A21" s="363">
        <f t="shared" si="0"/>
        <v>11</v>
      </c>
      <c r="B21" s="403" t="s">
        <v>532</v>
      </c>
      <c r="C21" s="402">
        <v>2240</v>
      </c>
      <c r="D21" s="209"/>
      <c r="E21" s="209"/>
      <c r="F21" s="209"/>
      <c r="G21" s="209"/>
      <c r="H21" s="209">
        <v>1750000</v>
      </c>
      <c r="I21" s="209"/>
      <c r="J21" s="344">
        <v>50000</v>
      </c>
      <c r="K21" s="209">
        <v>24463</v>
      </c>
      <c r="L21" s="345">
        <f>45000-45000</f>
        <v>0</v>
      </c>
      <c r="M21" s="345">
        <f>5000-5000</f>
        <v>0</v>
      </c>
      <c r="N21" s="209"/>
      <c r="O21" s="209"/>
      <c r="P21" s="381">
        <f>10731+655581.6+8165.89</f>
        <v>674478.49</v>
      </c>
      <c r="Q21" s="289">
        <f>10731+655581.6+8165.89</f>
        <v>674478.49</v>
      </c>
    </row>
    <row r="22" spans="1:17" ht="36.75" customHeight="1" x14ac:dyDescent="0.25">
      <c r="A22" s="363">
        <f t="shared" si="0"/>
        <v>12</v>
      </c>
      <c r="B22" s="403" t="s">
        <v>451</v>
      </c>
      <c r="C22" s="402">
        <v>2240</v>
      </c>
      <c r="D22" s="209"/>
      <c r="E22" s="209">
        <v>10731</v>
      </c>
      <c r="F22" s="209"/>
      <c r="G22" s="209"/>
      <c r="H22" s="209">
        <v>2200000</v>
      </c>
      <c r="I22" s="209"/>
      <c r="J22" s="209"/>
      <c r="K22" s="345">
        <v>75562</v>
      </c>
      <c r="L22" s="209"/>
      <c r="M22" s="209"/>
      <c r="N22" s="209"/>
      <c r="O22" s="209"/>
      <c r="P22" s="381">
        <f>10731+884890.8+11007.39</f>
        <v>906629.19000000006</v>
      </c>
      <c r="Q22" s="289">
        <f>10731+884890.8+11007.39</f>
        <v>906629.19000000006</v>
      </c>
    </row>
    <row r="23" spans="1:17" ht="36.75" customHeight="1" x14ac:dyDescent="0.25">
      <c r="A23" s="363">
        <f t="shared" si="0"/>
        <v>13</v>
      </c>
      <c r="B23" s="403" t="s">
        <v>452</v>
      </c>
      <c r="C23" s="402">
        <v>2240</v>
      </c>
      <c r="D23" s="209"/>
      <c r="E23" s="209">
        <v>73167</v>
      </c>
      <c r="F23" s="209"/>
      <c r="G23" s="209"/>
      <c r="H23" s="209">
        <v>3488434</v>
      </c>
      <c r="I23" s="209"/>
      <c r="J23" s="345">
        <v>41566</v>
      </c>
      <c r="K23" s="209">
        <v>3565</v>
      </c>
      <c r="L23" s="209"/>
      <c r="M23" s="345">
        <f>50000-50000</f>
        <v>0</v>
      </c>
      <c r="N23" s="209"/>
      <c r="O23" s="209"/>
      <c r="P23" s="381">
        <f>41566+3521133.6+43608</f>
        <v>3606307.6</v>
      </c>
      <c r="Q23" s="289">
        <f>41566+3521133.6+43608</f>
        <v>3606307.6</v>
      </c>
    </row>
    <row r="24" spans="1:17" ht="37.5" customHeight="1" x14ac:dyDescent="0.25">
      <c r="A24" s="363">
        <f t="shared" si="0"/>
        <v>14</v>
      </c>
      <c r="B24" s="403" t="s">
        <v>453</v>
      </c>
      <c r="C24" s="402">
        <v>2240</v>
      </c>
      <c r="D24" s="209"/>
      <c r="E24" s="209">
        <v>58499</v>
      </c>
      <c r="F24" s="209"/>
      <c r="G24" s="209"/>
      <c r="H24" s="209"/>
      <c r="I24" s="209"/>
      <c r="J24" s="345"/>
      <c r="K24" s="209"/>
      <c r="L24" s="209"/>
      <c r="M24" s="345"/>
      <c r="N24" s="209"/>
      <c r="O24" s="209"/>
      <c r="P24" s="381">
        <f>51671+6828</f>
        <v>58499</v>
      </c>
      <c r="Q24" s="289">
        <f>51671+6828</f>
        <v>58499</v>
      </c>
    </row>
    <row r="25" spans="1:17" ht="40.5" customHeight="1" x14ac:dyDescent="0.25">
      <c r="A25" s="363">
        <f t="shared" si="0"/>
        <v>15</v>
      </c>
      <c r="B25" s="403" t="s">
        <v>454</v>
      </c>
      <c r="C25" s="402">
        <v>2240</v>
      </c>
      <c r="D25" s="209"/>
      <c r="E25" s="209"/>
      <c r="F25" s="209"/>
      <c r="G25" s="209"/>
      <c r="H25" s="209"/>
      <c r="I25" s="345">
        <v>50000</v>
      </c>
      <c r="J25" s="209"/>
      <c r="K25" s="209"/>
      <c r="L25" s="209"/>
      <c r="M25" s="345">
        <f>50000-50000</f>
        <v>0</v>
      </c>
      <c r="N25" s="209"/>
      <c r="O25" s="209"/>
      <c r="P25" s="381">
        <v>19224</v>
      </c>
      <c r="Q25" s="289">
        <v>19224</v>
      </c>
    </row>
    <row r="26" spans="1:17" ht="31.5" customHeight="1" x14ac:dyDescent="0.25">
      <c r="A26" s="363">
        <f t="shared" si="0"/>
        <v>16</v>
      </c>
      <c r="B26" s="403" t="s">
        <v>455</v>
      </c>
      <c r="C26" s="402">
        <v>2240</v>
      </c>
      <c r="D26" s="209"/>
      <c r="E26" s="209"/>
      <c r="F26" s="209"/>
      <c r="G26" s="209"/>
      <c r="H26" s="209">
        <v>19224</v>
      </c>
      <c r="I26" s="344"/>
      <c r="J26" s="344"/>
      <c r="K26" s="209"/>
      <c r="L26" s="209"/>
      <c r="M26" s="344">
        <f>45000-45000</f>
        <v>0</v>
      </c>
      <c r="N26" s="344"/>
      <c r="O26" s="209"/>
      <c r="P26" s="381">
        <v>19224</v>
      </c>
      <c r="Q26" s="289">
        <v>19224</v>
      </c>
    </row>
    <row r="27" spans="1:17" ht="42" customHeight="1" x14ac:dyDescent="0.25">
      <c r="A27" s="363">
        <f t="shared" si="0"/>
        <v>17</v>
      </c>
      <c r="B27" s="403" t="s">
        <v>456</v>
      </c>
      <c r="C27" s="402">
        <v>2240</v>
      </c>
      <c r="D27" s="209"/>
      <c r="E27" s="209">
        <v>1498163.19</v>
      </c>
      <c r="F27" s="209"/>
      <c r="G27" s="209"/>
      <c r="H27" s="209"/>
      <c r="I27" s="345">
        <v>50000</v>
      </c>
      <c r="J27" s="209"/>
      <c r="K27" s="209"/>
      <c r="L27" s="209"/>
      <c r="M27" s="209">
        <v>7000</v>
      </c>
      <c r="N27" s="345">
        <v>1756020.83</v>
      </c>
      <c r="O27" s="209">
        <v>220000</v>
      </c>
      <c r="P27" s="381">
        <f>33415+1395574.87+17082.12</f>
        <v>1446071.9900000002</v>
      </c>
      <c r="Q27" s="289">
        <f>33415+1395574.87+17082.12</f>
        <v>1446071.9900000002</v>
      </c>
    </row>
    <row r="28" spans="1:17" ht="39.75" customHeight="1" x14ac:dyDescent="0.25">
      <c r="A28" s="363">
        <f t="shared" si="0"/>
        <v>18</v>
      </c>
      <c r="B28" s="403" t="s">
        <v>506</v>
      </c>
      <c r="C28" s="402">
        <v>2240</v>
      </c>
      <c r="D28" s="209"/>
      <c r="E28" s="209"/>
      <c r="F28" s="209"/>
      <c r="G28" s="209"/>
      <c r="H28" s="209">
        <v>19087</v>
      </c>
      <c r="I28" s="346"/>
      <c r="J28" s="346"/>
      <c r="K28" s="346"/>
      <c r="L28" s="346"/>
      <c r="M28" s="346"/>
      <c r="N28" s="346"/>
      <c r="O28" s="209"/>
      <c r="P28" s="381">
        <v>19087</v>
      </c>
      <c r="Q28" s="289">
        <v>19087</v>
      </c>
    </row>
    <row r="29" spans="1:17" ht="36" customHeight="1" x14ac:dyDescent="0.25">
      <c r="A29" s="363">
        <f t="shared" si="0"/>
        <v>19</v>
      </c>
      <c r="B29" s="403" t="s">
        <v>507</v>
      </c>
      <c r="C29" s="402">
        <v>2240</v>
      </c>
      <c r="D29" s="209"/>
      <c r="E29" s="209"/>
      <c r="F29" s="209"/>
      <c r="G29" s="209"/>
      <c r="H29" s="209">
        <v>55536</v>
      </c>
      <c r="I29" s="346"/>
      <c r="J29" s="346"/>
      <c r="K29" s="346"/>
      <c r="L29" s="346"/>
      <c r="M29" s="346"/>
      <c r="N29" s="346"/>
      <c r="O29" s="209"/>
      <c r="P29" s="381">
        <f>49128+6408</f>
        <v>55536</v>
      </c>
      <c r="Q29" s="289">
        <f>49128+6408</f>
        <v>55536</v>
      </c>
    </row>
    <row r="30" spans="1:17" ht="39.75" customHeight="1" x14ac:dyDescent="0.25">
      <c r="A30" s="363">
        <f>A29+1</f>
        <v>20</v>
      </c>
      <c r="B30" s="403" t="s">
        <v>508</v>
      </c>
      <c r="C30" s="402">
        <v>2240</v>
      </c>
      <c r="D30" s="209"/>
      <c r="E30" s="209"/>
      <c r="F30" s="209"/>
      <c r="G30" s="209"/>
      <c r="H30" s="209">
        <v>10731</v>
      </c>
      <c r="I30" s="346"/>
      <c r="J30" s="346"/>
      <c r="K30" s="346"/>
      <c r="L30" s="346"/>
      <c r="M30" s="346"/>
      <c r="N30" s="346"/>
      <c r="O30" s="209"/>
      <c r="P30" s="381">
        <v>10731</v>
      </c>
      <c r="Q30" s="289">
        <v>10731</v>
      </c>
    </row>
    <row r="31" spans="1:17" ht="40.5" customHeight="1" x14ac:dyDescent="0.25">
      <c r="A31" s="363">
        <f t="shared" si="0"/>
        <v>21</v>
      </c>
      <c r="B31" s="403" t="s">
        <v>496</v>
      </c>
      <c r="C31" s="402">
        <v>2240</v>
      </c>
      <c r="D31" s="209"/>
      <c r="E31" s="209"/>
      <c r="F31" s="209"/>
      <c r="G31" s="209"/>
      <c r="H31" s="209">
        <v>52763</v>
      </c>
      <c r="I31" s="346"/>
      <c r="J31" s="346"/>
      <c r="K31" s="346"/>
      <c r="L31" s="346"/>
      <c r="M31" s="346"/>
      <c r="N31" s="346">
        <v>1703866</v>
      </c>
      <c r="O31" s="209"/>
      <c r="P31" s="381">
        <f>28398+440779+6458+1135867+16736</f>
        <v>1628238</v>
      </c>
      <c r="Q31" s="289">
        <f>28398+440779+6458+1135867+16736</f>
        <v>1628238</v>
      </c>
    </row>
    <row r="32" spans="1:17" ht="43.5" customHeight="1" x14ac:dyDescent="0.25">
      <c r="A32" s="363">
        <f t="shared" si="0"/>
        <v>22</v>
      </c>
      <c r="B32" s="403" t="s">
        <v>497</v>
      </c>
      <c r="C32" s="402">
        <v>2240</v>
      </c>
      <c r="D32" s="209"/>
      <c r="E32" s="209">
        <v>100000</v>
      </c>
      <c r="F32" s="209"/>
      <c r="G32" s="209"/>
      <c r="H32" s="209"/>
      <c r="I32" s="346"/>
      <c r="J32" s="346"/>
      <c r="K32" s="346"/>
      <c r="L32" s="346"/>
      <c r="M32" s="346"/>
      <c r="N32" s="346"/>
      <c r="O32" s="209"/>
      <c r="P32" s="381">
        <v>37178</v>
      </c>
      <c r="Q32" s="289">
        <v>37178</v>
      </c>
    </row>
    <row r="33" spans="1:17" ht="51.75" customHeight="1" x14ac:dyDescent="0.25">
      <c r="A33" s="363">
        <f t="shared" si="0"/>
        <v>23</v>
      </c>
      <c r="B33" s="403" t="s">
        <v>499</v>
      </c>
      <c r="C33" s="402">
        <v>2240</v>
      </c>
      <c r="D33" s="209"/>
      <c r="E33" s="209">
        <v>38434</v>
      </c>
      <c r="F33" s="209"/>
      <c r="G33" s="209"/>
      <c r="H33" s="209"/>
      <c r="I33" s="346"/>
      <c r="J33" s="346"/>
      <c r="K33" s="346"/>
      <c r="L33" s="346"/>
      <c r="M33" s="346"/>
      <c r="N33" s="346"/>
      <c r="O33" s="209"/>
      <c r="P33" s="381">
        <v>38434</v>
      </c>
      <c r="Q33" s="289">
        <v>38434</v>
      </c>
    </row>
    <row r="34" spans="1:17" ht="29.25" customHeight="1" x14ac:dyDescent="0.25">
      <c r="A34" s="363">
        <f t="shared" si="0"/>
        <v>24</v>
      </c>
      <c r="B34" s="401" t="s">
        <v>435</v>
      </c>
      <c r="C34" s="402"/>
      <c r="D34" s="209">
        <f t="shared" ref="D34:O34" si="1">SUM(D35:D59)</f>
        <v>0</v>
      </c>
      <c r="E34" s="209">
        <f t="shared" si="1"/>
        <v>11622480.810000001</v>
      </c>
      <c r="F34" s="209">
        <f t="shared" si="1"/>
        <v>2497982</v>
      </c>
      <c r="G34" s="209">
        <f t="shared" si="1"/>
        <v>2538528</v>
      </c>
      <c r="H34" s="209">
        <f t="shared" si="1"/>
        <v>12479974.960000001</v>
      </c>
      <c r="I34" s="209">
        <f t="shared" si="1"/>
        <v>1556996.4</v>
      </c>
      <c r="J34" s="209">
        <f t="shared" si="1"/>
        <v>2365898.41</v>
      </c>
      <c r="K34" s="209">
        <f t="shared" si="1"/>
        <v>970523.27</v>
      </c>
      <c r="L34" s="209">
        <f t="shared" si="1"/>
        <v>740</v>
      </c>
      <c r="M34" s="209">
        <f t="shared" si="1"/>
        <v>1641320.39</v>
      </c>
      <c r="N34" s="209">
        <f t="shared" si="1"/>
        <v>2354491.56</v>
      </c>
      <c r="O34" s="209">
        <f t="shared" si="1"/>
        <v>3004256.77</v>
      </c>
      <c r="P34" s="385"/>
      <c r="Q34" s="354">
        <f>SUM(Q35:Q59)</f>
        <v>36354456.270000003</v>
      </c>
    </row>
    <row r="35" spans="1:17" ht="38.25" customHeight="1" x14ac:dyDescent="0.25">
      <c r="A35" s="363">
        <f t="shared" si="0"/>
        <v>25</v>
      </c>
      <c r="B35" s="403" t="s">
        <v>436</v>
      </c>
      <c r="C35" s="402">
        <v>2240</v>
      </c>
      <c r="D35" s="209"/>
      <c r="E35" s="209">
        <v>100000</v>
      </c>
      <c r="F35" s="209">
        <v>1795000</v>
      </c>
      <c r="G35" s="209">
        <v>975193.24</v>
      </c>
      <c r="H35" s="209"/>
      <c r="I35" s="209"/>
      <c r="J35" s="209"/>
      <c r="K35" s="209"/>
      <c r="L35" s="209"/>
      <c r="M35" s="209"/>
      <c r="N35" s="209"/>
      <c r="O35" s="209"/>
      <c r="P35" s="381">
        <f>15410+38247.65+2581718.27+231395.71+3420.62</f>
        <v>2870192.25</v>
      </c>
      <c r="Q35" s="289">
        <f>15410+38247.65+2581718.27+231395.71+3420.62</f>
        <v>2870192.25</v>
      </c>
    </row>
    <row r="36" spans="1:17" ht="39.75" customHeight="1" x14ac:dyDescent="0.25">
      <c r="A36" s="363">
        <f t="shared" si="0"/>
        <v>26</v>
      </c>
      <c r="B36" s="403" t="s">
        <v>467</v>
      </c>
      <c r="C36" s="402">
        <v>2240</v>
      </c>
      <c r="D36" s="209"/>
      <c r="E36" s="209">
        <f>100000+136200</f>
        <v>236200</v>
      </c>
      <c r="F36" s="209">
        <f>470000+54968</f>
        <v>524968</v>
      </c>
      <c r="G36" s="209">
        <f>92848+286700</f>
        <v>379548</v>
      </c>
      <c r="H36" s="209">
        <f>500000+152184</f>
        <v>652184</v>
      </c>
      <c r="I36" s="209">
        <v>500000</v>
      </c>
      <c r="J36" s="209">
        <v>139487</v>
      </c>
      <c r="K36" s="209"/>
      <c r="L36" s="209"/>
      <c r="M36" s="209"/>
      <c r="N36" s="209"/>
      <c r="O36" s="209"/>
      <c r="P36" s="381">
        <f>19224+1761854+444915+36946+147458.95+21988.88</f>
        <v>2432386.83</v>
      </c>
      <c r="Q36" s="289">
        <f>19224+1761854+444915+36946+147458.95+21988.88</f>
        <v>2432386.83</v>
      </c>
    </row>
    <row r="37" spans="1:17" ht="37.5" customHeight="1" x14ac:dyDescent="0.25">
      <c r="A37" s="363">
        <f t="shared" si="0"/>
        <v>27</v>
      </c>
      <c r="B37" s="403" t="s">
        <v>437</v>
      </c>
      <c r="C37" s="402">
        <v>2240</v>
      </c>
      <c r="D37" s="209"/>
      <c r="E37" s="209">
        <f>30000+181</f>
        <v>30181</v>
      </c>
      <c r="F37" s="209">
        <f>123</f>
        <v>123</v>
      </c>
      <c r="G37" s="209">
        <v>940066.86</v>
      </c>
      <c r="H37" s="209">
        <v>36011</v>
      </c>
      <c r="I37" s="209">
        <v>540000</v>
      </c>
      <c r="J37" s="209">
        <v>466474</v>
      </c>
      <c r="K37" s="209">
        <v>11634</v>
      </c>
      <c r="L37" s="209"/>
      <c r="M37" s="209">
        <v>5513.34</v>
      </c>
      <c r="N37" s="209"/>
      <c r="O37" s="209">
        <v>1918.8</v>
      </c>
      <c r="P37" s="381">
        <f>25160+1472289.77+22469.11+7314.21+497256.38</f>
        <v>2024489.4700000002</v>
      </c>
      <c r="Q37" s="289">
        <f>25160+1472289.77+22469.11+7314.21+497256.38</f>
        <v>2024489.4700000002</v>
      </c>
    </row>
    <row r="38" spans="1:17" ht="35.25" customHeight="1" x14ac:dyDescent="0.25">
      <c r="A38" s="363">
        <f t="shared" si="0"/>
        <v>28</v>
      </c>
      <c r="B38" s="403" t="s">
        <v>509</v>
      </c>
      <c r="C38" s="402">
        <v>2240</v>
      </c>
      <c r="D38" s="209"/>
      <c r="E38" s="343">
        <v>20000</v>
      </c>
      <c r="F38" s="209"/>
      <c r="G38" s="209"/>
      <c r="H38" s="209">
        <v>2313989</v>
      </c>
      <c r="I38" s="209"/>
      <c r="J38" s="343">
        <v>220000</v>
      </c>
      <c r="K38" s="343"/>
      <c r="L38" s="209"/>
      <c r="M38" s="209">
        <v>9496</v>
      </c>
      <c r="N38" s="209"/>
      <c r="O38" s="209">
        <v>210000</v>
      </c>
      <c r="P38" s="381">
        <f>19864.8+1783485.8+738707+10262.4+134</f>
        <v>2552454</v>
      </c>
      <c r="Q38" s="289">
        <f>19864.8+1760662.8+22823+729252+9455+10262.4+134</f>
        <v>2552454</v>
      </c>
    </row>
    <row r="39" spans="1:17" ht="39" customHeight="1" x14ac:dyDescent="0.25">
      <c r="A39" s="363">
        <f t="shared" si="0"/>
        <v>29</v>
      </c>
      <c r="B39" s="403" t="s">
        <v>463</v>
      </c>
      <c r="C39" s="402">
        <v>2240</v>
      </c>
      <c r="D39" s="209"/>
      <c r="E39" s="209">
        <v>6225570</v>
      </c>
      <c r="F39" s="209"/>
      <c r="G39" s="209"/>
      <c r="H39" s="209"/>
      <c r="I39" s="209">
        <v>217510</v>
      </c>
      <c r="J39" s="209">
        <v>461227.51</v>
      </c>
      <c r="K39" s="209"/>
      <c r="L39" s="209"/>
      <c r="M39" s="209">
        <v>994160.49</v>
      </c>
      <c r="N39" s="209"/>
      <c r="O39" s="209">
        <v>66565</v>
      </c>
      <c r="P39" s="381">
        <f>21175.51+1058842.44+1086162.05+996342.11+40837.5+1815917.19+836608.75+33781.61</f>
        <v>5889667.1600000001</v>
      </c>
      <c r="Q39" s="289">
        <f>14530.61+6644.9+1058842.44+1086162.05+996342.11+40837.5+1815917.19+836608.75+33781.61</f>
        <v>5889667.1600000001</v>
      </c>
    </row>
    <row r="40" spans="1:17" ht="36.75" customHeight="1" x14ac:dyDescent="0.25">
      <c r="A40" s="363">
        <f t="shared" si="0"/>
        <v>30</v>
      </c>
      <c r="B40" s="403" t="s">
        <v>438</v>
      </c>
      <c r="C40" s="402">
        <v>2240</v>
      </c>
      <c r="D40" s="209"/>
      <c r="E40" s="209">
        <v>7120</v>
      </c>
      <c r="F40" s="209"/>
      <c r="G40" s="209"/>
      <c r="H40" s="209"/>
      <c r="I40" s="209"/>
      <c r="J40" s="209">
        <v>100000</v>
      </c>
      <c r="K40" s="209"/>
      <c r="L40" s="209"/>
      <c r="M40" s="209">
        <v>200000</v>
      </c>
      <c r="N40" s="343">
        <v>553015</v>
      </c>
      <c r="O40" s="343">
        <v>983175</v>
      </c>
      <c r="P40" s="381">
        <f>7120+11749+810901.08+212550.32+2711</f>
        <v>1045031.3999999999</v>
      </c>
      <c r="Q40" s="289">
        <f>7120+810901.08+11749+212550.32+2711</f>
        <v>1045031.3999999999</v>
      </c>
    </row>
    <row r="41" spans="1:17" ht="35.25" customHeight="1" x14ac:dyDescent="0.25">
      <c r="A41" s="363">
        <f t="shared" si="0"/>
        <v>31</v>
      </c>
      <c r="B41" s="403" t="s">
        <v>466</v>
      </c>
      <c r="C41" s="402">
        <v>2240</v>
      </c>
      <c r="D41" s="209"/>
      <c r="E41" s="209">
        <f>50000-181</f>
        <v>49819</v>
      </c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381">
        <v>49818.32</v>
      </c>
      <c r="Q41" s="289">
        <v>49818.32</v>
      </c>
    </row>
    <row r="42" spans="1:17" ht="37.5" customHeight="1" x14ac:dyDescent="0.25">
      <c r="A42" s="363">
        <f t="shared" si="0"/>
        <v>32</v>
      </c>
      <c r="B42" s="403" t="s">
        <v>439</v>
      </c>
      <c r="C42" s="402">
        <v>2240</v>
      </c>
      <c r="D42" s="209"/>
      <c r="E42" s="209">
        <v>200000</v>
      </c>
      <c r="F42" s="209"/>
      <c r="G42" s="209">
        <f>127152-432.1</f>
        <v>126719.9</v>
      </c>
      <c r="H42" s="209"/>
      <c r="I42" s="209">
        <f>92452+34700-127152</f>
        <v>0</v>
      </c>
      <c r="J42" s="209"/>
      <c r="K42" s="209"/>
      <c r="L42" s="209"/>
      <c r="M42" s="209"/>
      <c r="N42" s="209"/>
      <c r="O42" s="209"/>
      <c r="P42" s="381">
        <f>3223+318883+4613.9</f>
        <v>326719.90000000002</v>
      </c>
      <c r="Q42" s="289">
        <f>3223+318883+4613.9</f>
        <v>326719.90000000002</v>
      </c>
    </row>
    <row r="43" spans="1:17" ht="46.5" customHeight="1" x14ac:dyDescent="0.25">
      <c r="A43" s="363">
        <f t="shared" si="0"/>
        <v>33</v>
      </c>
      <c r="B43" s="403" t="s">
        <v>440</v>
      </c>
      <c r="C43" s="402">
        <v>2240</v>
      </c>
      <c r="D43" s="209"/>
      <c r="E43" s="209">
        <f>200000</f>
        <v>200000</v>
      </c>
      <c r="F43" s="209">
        <f>128031-123</f>
        <v>127908</v>
      </c>
      <c r="G43" s="209"/>
      <c r="H43" s="209"/>
      <c r="I43" s="209">
        <f>66731+61300-128031</f>
        <v>0</v>
      </c>
      <c r="J43" s="209"/>
      <c r="K43" s="209"/>
      <c r="L43" s="209"/>
      <c r="M43" s="209"/>
      <c r="N43" s="209"/>
      <c r="O43" s="209"/>
      <c r="P43" s="381">
        <f>3223+319790+4895</f>
        <v>327908</v>
      </c>
      <c r="Q43" s="289">
        <f>3223+319790+4895</f>
        <v>327908</v>
      </c>
    </row>
    <row r="44" spans="1:17" ht="41.25" customHeight="1" x14ac:dyDescent="0.25">
      <c r="A44" s="363">
        <f t="shared" si="0"/>
        <v>34</v>
      </c>
      <c r="B44" s="403" t="s">
        <v>446</v>
      </c>
      <c r="C44" s="402">
        <v>2240</v>
      </c>
      <c r="D44" s="209"/>
      <c r="E44" s="209"/>
      <c r="F44" s="209"/>
      <c r="G44" s="209">
        <f>30000</f>
        <v>30000</v>
      </c>
      <c r="H44" s="209">
        <v>700000</v>
      </c>
      <c r="I44" s="209">
        <v>73590</v>
      </c>
      <c r="J44" s="209">
        <v>0</v>
      </c>
      <c r="K44" s="209"/>
      <c r="L44" s="209"/>
      <c r="M44" s="209">
        <v>1260</v>
      </c>
      <c r="N44" s="209"/>
      <c r="O44" s="209"/>
      <c r="P44" s="381">
        <f>7495+11860+784235</f>
        <v>803590</v>
      </c>
      <c r="Q44" s="289">
        <f>7495+11860+784235</f>
        <v>803590</v>
      </c>
    </row>
    <row r="45" spans="1:17" ht="40.5" customHeight="1" x14ac:dyDescent="0.25">
      <c r="A45" s="363">
        <f t="shared" si="0"/>
        <v>35</v>
      </c>
      <c r="B45" s="403" t="s">
        <v>533</v>
      </c>
      <c r="C45" s="402">
        <v>2240</v>
      </c>
      <c r="D45" s="209"/>
      <c r="E45" s="209">
        <v>299457</v>
      </c>
      <c r="F45" s="209"/>
      <c r="G45" s="209"/>
      <c r="H45" s="209">
        <v>996957</v>
      </c>
      <c r="I45" s="344">
        <f>1000000-9368-990632</f>
        <v>0</v>
      </c>
      <c r="J45" s="209">
        <v>467000</v>
      </c>
      <c r="K45" s="209">
        <v>546617.44999999995</v>
      </c>
      <c r="L45" s="344"/>
      <c r="M45" s="344"/>
      <c r="N45" s="209"/>
      <c r="O45" s="209"/>
      <c r="P45" s="381">
        <f>9368+987589+14885.87+1059608+14141.58+224439</f>
        <v>2310031.4500000002</v>
      </c>
      <c r="Q45" s="289">
        <f>9368+987589+14885.87+1059608+14141.58+224439</f>
        <v>2310031.4500000002</v>
      </c>
    </row>
    <row r="46" spans="1:17" ht="38.25" customHeight="1" x14ac:dyDescent="0.25">
      <c r="A46" s="363">
        <f t="shared" si="0"/>
        <v>36</v>
      </c>
      <c r="B46" s="403" t="s">
        <v>447</v>
      </c>
      <c r="C46" s="402">
        <v>2240</v>
      </c>
      <c r="D46" s="209"/>
      <c r="E46" s="209"/>
      <c r="F46" s="209">
        <v>24351</v>
      </c>
      <c r="G46" s="209"/>
      <c r="H46" s="209">
        <v>116141</v>
      </c>
      <c r="I46" s="209">
        <v>59218.400000000001</v>
      </c>
      <c r="J46" s="209">
        <v>120000</v>
      </c>
      <c r="K46" s="209">
        <v>533.54999999999995</v>
      </c>
      <c r="L46" s="209">
        <v>740</v>
      </c>
      <c r="M46" s="209">
        <v>4630.13</v>
      </c>
      <c r="N46" s="209">
        <v>118268.75</v>
      </c>
      <c r="O46" s="209">
        <v>1295343.43</v>
      </c>
      <c r="P46" s="381">
        <f>24350.4+921783+29919+13444.51</f>
        <v>989496.91</v>
      </c>
      <c r="Q46" s="289">
        <f>24350.4+921783+29919+13444.51</f>
        <v>989496.91</v>
      </c>
    </row>
    <row r="47" spans="1:17" ht="40.5" customHeight="1" x14ac:dyDescent="0.25">
      <c r="A47" s="363">
        <f t="shared" si="0"/>
        <v>37</v>
      </c>
      <c r="B47" s="403" t="s">
        <v>510</v>
      </c>
      <c r="C47" s="402">
        <v>2240</v>
      </c>
      <c r="D47" s="209"/>
      <c r="E47" s="209">
        <v>11567</v>
      </c>
      <c r="F47" s="209">
        <v>25632</v>
      </c>
      <c r="G47" s="209">
        <f>87000</f>
        <v>87000</v>
      </c>
      <c r="H47" s="209">
        <v>483731</v>
      </c>
      <c r="I47" s="209"/>
      <c r="J47" s="209">
        <v>178893.9</v>
      </c>
      <c r="K47" s="209"/>
      <c r="L47" s="209"/>
      <c r="M47" s="209"/>
      <c r="N47" s="209"/>
      <c r="O47" s="209"/>
      <c r="P47" s="381">
        <f>25632+749936.8+11255.1</f>
        <v>786823.9</v>
      </c>
      <c r="Q47" s="289">
        <f>25632+737140.82+12795.98+11255.1</f>
        <v>786823.89999999991</v>
      </c>
    </row>
    <row r="48" spans="1:17" ht="39" customHeight="1" x14ac:dyDescent="0.25">
      <c r="A48" s="363">
        <f t="shared" si="0"/>
        <v>38</v>
      </c>
      <c r="B48" s="403" t="s">
        <v>511</v>
      </c>
      <c r="C48" s="402">
        <v>2240</v>
      </c>
      <c r="D48" s="209"/>
      <c r="E48" s="209">
        <v>2268944.96</v>
      </c>
      <c r="F48" s="209"/>
      <c r="G48" s="209"/>
      <c r="H48" s="209">
        <v>3863888.96</v>
      </c>
      <c r="I48" s="209"/>
      <c r="J48" s="209">
        <v>100000</v>
      </c>
      <c r="K48" s="209">
        <v>411738.27</v>
      </c>
      <c r="L48" s="209"/>
      <c r="M48" s="209"/>
      <c r="N48" s="209">
        <v>683207.81</v>
      </c>
      <c r="O48" s="209"/>
      <c r="P48" s="381">
        <f>32473+6408+1571757+19411.97+2209325+2988479+36261.62</f>
        <v>6864115.5899999999</v>
      </c>
      <c r="Q48" s="289">
        <f>32473+6408+1571757+19411.97+2182812+26513+2988479+36261.62</f>
        <v>6864115.5899999999</v>
      </c>
    </row>
    <row r="49" spans="1:18" ht="41.25" customHeight="1" x14ac:dyDescent="0.25">
      <c r="A49" s="363">
        <f t="shared" si="0"/>
        <v>39</v>
      </c>
      <c r="B49" s="403" t="s">
        <v>503</v>
      </c>
      <c r="C49" s="402">
        <v>2240</v>
      </c>
      <c r="D49" s="209"/>
      <c r="E49" s="209"/>
      <c r="F49" s="209"/>
      <c r="G49" s="209"/>
      <c r="H49" s="209">
        <v>2175452</v>
      </c>
      <c r="I49" s="209"/>
      <c r="J49" s="209">
        <v>112816</v>
      </c>
      <c r="K49" s="209"/>
      <c r="L49" s="209"/>
      <c r="M49" s="209">
        <v>230000</v>
      </c>
      <c r="N49" s="209"/>
      <c r="O49" s="209">
        <v>447000</v>
      </c>
      <c r="P49" s="381">
        <f>29904+1502370+19386+1367670+17612</f>
        <v>2936942</v>
      </c>
      <c r="Q49" s="289">
        <f>29904+1502370+19386+1367670+17612</f>
        <v>2936942</v>
      </c>
    </row>
    <row r="50" spans="1:18" ht="35.25" customHeight="1" x14ac:dyDescent="0.25">
      <c r="A50" s="363">
        <f t="shared" si="0"/>
        <v>40</v>
      </c>
      <c r="B50" s="403" t="s">
        <v>450</v>
      </c>
      <c r="C50" s="402">
        <v>2240</v>
      </c>
      <c r="D50" s="209"/>
      <c r="E50" s="209">
        <v>1346649.85</v>
      </c>
      <c r="F50" s="209"/>
      <c r="G50" s="209"/>
      <c r="H50" s="209"/>
      <c r="I50" s="209"/>
      <c r="J50" s="209"/>
      <c r="K50" s="209"/>
      <c r="L50" s="209"/>
      <c r="M50" s="209"/>
      <c r="N50" s="209">
        <v>1000000</v>
      </c>
      <c r="O50" s="209">
        <v>254.54</v>
      </c>
      <c r="P50" s="381">
        <f>30907+555959.91+7780.86+827028.8+11567.26+654450.09+9180.37</f>
        <v>2096874.29</v>
      </c>
      <c r="Q50" s="289">
        <f>30907+555959.91+7780.86+827028.8+11567.26+654450.09+9180.37</f>
        <v>2096874.29</v>
      </c>
    </row>
    <row r="51" spans="1:18" ht="42" customHeight="1" x14ac:dyDescent="0.25">
      <c r="A51" s="363">
        <f t="shared" si="0"/>
        <v>41</v>
      </c>
      <c r="B51" s="403" t="s">
        <v>457</v>
      </c>
      <c r="C51" s="402">
        <v>2240</v>
      </c>
      <c r="D51" s="209"/>
      <c r="E51" s="345">
        <v>141495</v>
      </c>
      <c r="F51" s="209"/>
      <c r="G51" s="209"/>
      <c r="H51" s="209"/>
      <c r="I51" s="209"/>
      <c r="J51" s="209"/>
      <c r="K51" s="209"/>
      <c r="L51" s="209"/>
      <c r="M51" s="209"/>
      <c r="N51" s="209"/>
      <c r="O51" s="345">
        <f>199000-199000</f>
        <v>0</v>
      </c>
      <c r="P51" s="381">
        <f>1816.33+2092+137585.88</f>
        <v>141494.21</v>
      </c>
      <c r="Q51" s="289">
        <f>1816.33+2092+137585.88</f>
        <v>141494.21</v>
      </c>
    </row>
    <row r="52" spans="1:18" ht="37.5" customHeight="1" x14ac:dyDescent="0.25">
      <c r="A52" s="363">
        <f t="shared" si="0"/>
        <v>42</v>
      </c>
      <c r="B52" s="403" t="s">
        <v>512</v>
      </c>
      <c r="C52" s="402">
        <v>2240</v>
      </c>
      <c r="D52" s="209"/>
      <c r="E52" s="345">
        <v>422969</v>
      </c>
      <c r="F52" s="209"/>
      <c r="G52" s="209"/>
      <c r="H52" s="209">
        <v>830805</v>
      </c>
      <c r="I52" s="209"/>
      <c r="J52" s="209"/>
      <c r="K52" s="345">
        <f>50000-50000</f>
        <v>0</v>
      </c>
      <c r="L52" s="209"/>
      <c r="M52" s="209"/>
      <c r="N52" s="209"/>
      <c r="O52" s="209"/>
      <c r="P52" s="381">
        <f>15410+1147909+16731.31</f>
        <v>1180050.31</v>
      </c>
      <c r="Q52" s="289">
        <f>15410+1147909+16731.31</f>
        <v>1180050.31</v>
      </c>
    </row>
    <row r="53" spans="1:18" ht="39" customHeight="1" x14ac:dyDescent="0.25">
      <c r="A53" s="363">
        <f t="shared" si="0"/>
        <v>43</v>
      </c>
      <c r="B53" s="403" t="s">
        <v>461</v>
      </c>
      <c r="C53" s="402">
        <v>2240</v>
      </c>
      <c r="D53" s="209"/>
      <c r="E53" s="343">
        <v>14143</v>
      </c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381">
        <v>8544</v>
      </c>
      <c r="Q53" s="289">
        <v>8544</v>
      </c>
    </row>
    <row r="54" spans="1:18" ht="39" customHeight="1" x14ac:dyDescent="0.25">
      <c r="A54" s="363">
        <f t="shared" si="0"/>
        <v>44</v>
      </c>
      <c r="B54" s="403" t="s">
        <v>459</v>
      </c>
      <c r="C54" s="402">
        <v>2240</v>
      </c>
      <c r="D54" s="209"/>
      <c r="E54" s="343">
        <v>30000</v>
      </c>
      <c r="F54" s="209"/>
      <c r="G54" s="209"/>
      <c r="H54" s="209"/>
      <c r="I54" s="209">
        <v>166678</v>
      </c>
      <c r="J54" s="209"/>
      <c r="K54" s="209"/>
      <c r="L54" s="209"/>
      <c r="M54" s="209"/>
      <c r="N54" s="209"/>
      <c r="O54" s="209"/>
      <c r="P54" s="381">
        <f>3632.65+190213+2832</f>
        <v>196677.65</v>
      </c>
      <c r="Q54" s="289">
        <f>3632.65+190213+2832</f>
        <v>196677.65</v>
      </c>
    </row>
    <row r="55" spans="1:18" ht="38.25" customHeight="1" x14ac:dyDescent="0.25">
      <c r="A55" s="363">
        <f t="shared" si="0"/>
        <v>45</v>
      </c>
      <c r="B55" s="403" t="s">
        <v>460</v>
      </c>
      <c r="C55" s="402">
        <v>2240</v>
      </c>
      <c r="D55" s="209"/>
      <c r="E55" s="343"/>
      <c r="F55" s="209"/>
      <c r="G55" s="209"/>
      <c r="H55" s="209">
        <v>12816</v>
      </c>
      <c r="I55" s="209"/>
      <c r="J55" s="209"/>
      <c r="K55" s="209"/>
      <c r="L55" s="209"/>
      <c r="M55" s="209"/>
      <c r="N55" s="209"/>
      <c r="O55" s="209"/>
      <c r="P55" s="381">
        <v>12816</v>
      </c>
      <c r="Q55" s="289">
        <v>12816</v>
      </c>
    </row>
    <row r="56" spans="1:18" ht="38.25" customHeight="1" x14ac:dyDescent="0.25">
      <c r="A56" s="363">
        <f t="shared" si="0"/>
        <v>46</v>
      </c>
      <c r="B56" s="403" t="s">
        <v>513</v>
      </c>
      <c r="C56" s="402">
        <v>2240</v>
      </c>
      <c r="D56" s="209"/>
      <c r="E56" s="343"/>
      <c r="F56" s="209"/>
      <c r="G56" s="209"/>
      <c r="H56" s="209">
        <v>199000</v>
      </c>
      <c r="I56" s="209"/>
      <c r="J56" s="209"/>
      <c r="K56" s="209"/>
      <c r="L56" s="209"/>
      <c r="M56" s="209"/>
      <c r="N56" s="209"/>
      <c r="O56" s="209"/>
      <c r="P56" s="381">
        <f>4570+194285+145</f>
        <v>199000</v>
      </c>
      <c r="Q56" s="289">
        <f>4570+194285+145</f>
        <v>199000</v>
      </c>
    </row>
    <row r="57" spans="1:18" ht="40.5" customHeight="1" x14ac:dyDescent="0.25">
      <c r="A57" s="363">
        <f t="shared" si="0"/>
        <v>47</v>
      </c>
      <c r="B57" s="403" t="s">
        <v>498</v>
      </c>
      <c r="C57" s="402">
        <v>2240</v>
      </c>
      <c r="D57" s="209"/>
      <c r="E57" s="343"/>
      <c r="F57" s="209"/>
      <c r="G57" s="209"/>
      <c r="H57" s="209">
        <v>99000</v>
      </c>
      <c r="I57" s="209"/>
      <c r="J57" s="209"/>
      <c r="K57" s="209"/>
      <c r="L57" s="209"/>
      <c r="M57" s="209"/>
      <c r="N57" s="209"/>
      <c r="O57" s="209"/>
      <c r="P57" s="381">
        <f>98584.2</f>
        <v>98584.2</v>
      </c>
      <c r="Q57" s="289">
        <f>98584.2</f>
        <v>98584.2</v>
      </c>
    </row>
    <row r="58" spans="1:18" ht="37.5" customHeight="1" x14ac:dyDescent="0.25">
      <c r="A58" s="363">
        <f t="shared" si="0"/>
        <v>48</v>
      </c>
      <c r="B58" s="403" t="s">
        <v>501</v>
      </c>
      <c r="C58" s="402">
        <v>2240</v>
      </c>
      <c r="D58" s="209"/>
      <c r="E58" s="343"/>
      <c r="F58" s="209"/>
      <c r="G58" s="209"/>
      <c r="H58" s="209"/>
      <c r="I58" s="209"/>
      <c r="J58" s="209"/>
      <c r="K58" s="209"/>
      <c r="L58" s="209"/>
      <c r="M58" s="209">
        <v>196260.43</v>
      </c>
      <c r="N58" s="209"/>
      <c r="O58" s="209"/>
      <c r="P58" s="381">
        <f>185868+3747+2768.43</f>
        <v>192383.43</v>
      </c>
      <c r="Q58" s="289">
        <f>185868+3747+2768.43</f>
        <v>192383.43</v>
      </c>
    </row>
    <row r="59" spans="1:18" ht="39" customHeight="1" x14ac:dyDescent="0.25">
      <c r="A59" s="363">
        <f t="shared" si="0"/>
        <v>49</v>
      </c>
      <c r="B59" s="403" t="s">
        <v>465</v>
      </c>
      <c r="C59" s="402">
        <v>2240</v>
      </c>
      <c r="D59" s="209"/>
      <c r="E59" s="343">
        <v>18365</v>
      </c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381">
        <v>18365</v>
      </c>
      <c r="Q59" s="289">
        <v>18365</v>
      </c>
    </row>
    <row r="60" spans="1:18" ht="40.5" customHeight="1" x14ac:dyDescent="0.25">
      <c r="A60" s="363">
        <f t="shared" si="0"/>
        <v>50</v>
      </c>
      <c r="B60" s="403" t="s">
        <v>448</v>
      </c>
      <c r="C60" s="402">
        <v>2240</v>
      </c>
      <c r="D60" s="367"/>
      <c r="E60" s="367"/>
      <c r="F60" s="367"/>
      <c r="G60" s="367"/>
      <c r="H60" s="367">
        <v>83361</v>
      </c>
      <c r="I60" s="367">
        <v>0</v>
      </c>
      <c r="J60" s="367">
        <v>0</v>
      </c>
      <c r="K60" s="367">
        <v>2258145</v>
      </c>
      <c r="L60" s="367"/>
      <c r="M60" s="367">
        <v>960500</v>
      </c>
      <c r="N60" s="367">
        <v>600000</v>
      </c>
      <c r="O60" s="367">
        <v>100000</v>
      </c>
      <c r="P60" s="381">
        <f>679040.4+2040227.08+679425.6+8454.94</f>
        <v>3407148.02</v>
      </c>
      <c r="Q60" s="289">
        <f>679040.4+2015242.8+24984.28+679425.6+8454.94</f>
        <v>3407148.02</v>
      </c>
    </row>
    <row r="61" spans="1:18" ht="43.5" customHeight="1" x14ac:dyDescent="0.25">
      <c r="A61" s="363">
        <f t="shared" si="0"/>
        <v>51</v>
      </c>
      <c r="B61" s="403" t="s">
        <v>502</v>
      </c>
      <c r="C61" s="402">
        <v>2240</v>
      </c>
      <c r="D61" s="367"/>
      <c r="E61" s="367">
        <v>10680</v>
      </c>
      <c r="F61" s="367"/>
      <c r="G61" s="367"/>
      <c r="H61" s="367">
        <v>3917</v>
      </c>
      <c r="I61" s="367">
        <v>28589</v>
      </c>
      <c r="J61" s="367">
        <v>750000</v>
      </c>
      <c r="K61" s="367">
        <v>1666156</v>
      </c>
      <c r="L61" s="367"/>
      <c r="M61" s="367">
        <v>683693.97</v>
      </c>
      <c r="N61" s="367">
        <v>1182174.22</v>
      </c>
      <c r="O61" s="367">
        <v>376306.03</v>
      </c>
      <c r="P61" s="381">
        <f>10680+754830.03+855581.14+22971.76+799405.53+11541.52+1006163.47+14442.5+310427.02+4435.14+849389.56+10580.18</f>
        <v>4650447.8499999996</v>
      </c>
      <c r="Q61" s="289">
        <f>10680+754830.03+855581.14+22971.76+799405.53+11541.52+1006163.47+14442.5+310427.02+4435.14+849389.56+10580.18</f>
        <v>4650447.8499999996</v>
      </c>
    </row>
    <row r="62" spans="1:18" ht="28.5" customHeight="1" x14ac:dyDescent="0.25">
      <c r="A62" s="363">
        <f t="shared" si="0"/>
        <v>52</v>
      </c>
      <c r="B62" s="404" t="s">
        <v>47</v>
      </c>
      <c r="C62" s="405"/>
      <c r="D62" s="406" t="e">
        <f>#REF!+D63+#REF!</f>
        <v>#REF!</v>
      </c>
      <c r="E62" s="406" t="e">
        <f>#REF!+E63+#REF!+#REF!+#REF!+#REF!+#REF!</f>
        <v>#REF!</v>
      </c>
      <c r="F62" s="406" t="e">
        <f>#REF!+F63+#REF!+#REF!+#REF!+#REF!+#REF!</f>
        <v>#REF!</v>
      </c>
      <c r="G62" s="406" t="e">
        <f>#REF!+G63+#REF!+#REF!+#REF!+#REF!+#REF!+#REF!</f>
        <v>#REF!</v>
      </c>
      <c r="H62" s="406" t="e">
        <f>#REF!+H63+#REF!+#REF!+#REF!+#REF!+#REF!+#REF!</f>
        <v>#REF!</v>
      </c>
      <c r="I62" s="406" t="e">
        <f>#REF!+I63+#REF!+#REF!+#REF!+#REF!+#REF!</f>
        <v>#REF!</v>
      </c>
      <c r="J62" s="406" t="e">
        <f>#REF!+J63+#REF!+#REF!+#REF!+#REF!+#REF!</f>
        <v>#REF!</v>
      </c>
      <c r="K62" s="406" t="e">
        <f>#REF!+K63+#REF!+#REF!+#REF!+#REF!+#REF!</f>
        <v>#REF!</v>
      </c>
      <c r="L62" s="406" t="e">
        <f>#REF!+L63+#REF!+#REF!+#REF!+#REF!+#REF!</f>
        <v>#REF!</v>
      </c>
      <c r="M62" s="406" t="e">
        <f>#REF!+M63+#REF!+#REF!+#REF!+#REF!+#REF!</f>
        <v>#REF!</v>
      </c>
      <c r="N62" s="406" t="e">
        <f>#REF!+N63+#REF!+#REF!+#REF!+#REF!+#REF!+#REF!</f>
        <v>#REF!</v>
      </c>
      <c r="O62" s="406" t="e">
        <f>#REF!+O63+#REF!+#REF!+#REF!+#REF!+#REF!</f>
        <v>#REF!</v>
      </c>
      <c r="P62" s="407"/>
      <c r="Q62" s="408">
        <f>SUM(Q63:Q63)</f>
        <v>117013208.16</v>
      </c>
    </row>
    <row r="63" spans="1:18" ht="36" customHeight="1" x14ac:dyDescent="0.25">
      <c r="A63" s="363">
        <f t="shared" si="0"/>
        <v>53</v>
      </c>
      <c r="B63" s="409" t="s">
        <v>537</v>
      </c>
      <c r="C63" s="410">
        <v>2610</v>
      </c>
      <c r="D63" s="209">
        <v>1104560</v>
      </c>
      <c r="E63" s="209">
        <v>12105956.779999999</v>
      </c>
      <c r="F63" s="209">
        <v>14740830</v>
      </c>
      <c r="G63" s="209">
        <v>19046400</v>
      </c>
      <c r="H63" s="209">
        <v>22583516</v>
      </c>
      <c r="I63" s="209">
        <v>15890285</v>
      </c>
      <c r="J63" s="209">
        <v>1675950</v>
      </c>
      <c r="K63" s="209">
        <v>260263.27</v>
      </c>
      <c r="L63" s="209">
        <v>5136.7299999999996</v>
      </c>
      <c r="M63" s="209">
        <v>13890992</v>
      </c>
      <c r="N63" s="209">
        <v>10822781</v>
      </c>
      <c r="O63" s="209">
        <v>4886537.38</v>
      </c>
      <c r="P63" s="411">
        <f>475800+110235+592765.2+321756.04+140354.14+136398+817008.9+227432+242730+288814.8+530410.35+612231+892371.82+50310+488319.28+557952+738848.83+273075+4750+230-230+837635.11+233760+447284+1968833+1177604.29+2005600.77+773156.75+1629621+7360735.56+4197356.48+348780.43-1821+1395844.2+8206669.2+112565.55+988752.77+9512293.2+348980.67+2269451.1+1788394.95+332992.24+0.01+214994+5687941+279925+310497.97+1858240+1432625.67+8852088+22525+378595.28+5868880+1676884.46+4917745.07+2175027.2+244286.92+10347927.6+6154828.95+134200+5225753.6+2140228.8+373076+3117882+573738+1589265</f>
        <v>117013208.16</v>
      </c>
      <c r="Q63" s="411">
        <f>475800+110235+592765.2+321756.04+140354.14+136398+817008.9+227432+242730+288814.8+530410.35+612231+892371.82+50310+488319.28+557952+738848.83+273075+4750+230-230+837635.11+233760+447284+1968833+1177604.29+2005600.77+773156.75+1629621+7360735.56+4197356.48+348780.43-1821+1395844.2+8206669.2+112565.55+988752.77+9512293.2+348980.67+2269451.1+1788394.95+332992.24+0.01+214994+5687941+279925+310497.97+1858240+1432625.67+8852088+22525+378595.28+5868880+1676884.46+4917745.07+2175027.2+244286.92+10347927.6+6154828.95+134200+5225753.6+2140228.8+373076+3117882+573738+1589265</f>
        <v>117013208.16</v>
      </c>
    </row>
    <row r="64" spans="1:18" ht="43.5" customHeight="1" x14ac:dyDescent="0.25">
      <c r="A64" s="447" t="s">
        <v>525</v>
      </c>
      <c r="B64" s="448"/>
      <c r="C64" s="448"/>
      <c r="D64" s="448"/>
      <c r="E64" s="448"/>
      <c r="F64" s="448"/>
      <c r="G64" s="448"/>
      <c r="H64" s="448"/>
      <c r="I64" s="448"/>
      <c r="J64" s="448"/>
      <c r="K64" s="448"/>
      <c r="L64" s="448"/>
      <c r="M64" s="448"/>
      <c r="N64" s="448"/>
      <c r="O64" s="448"/>
      <c r="P64" s="448"/>
      <c r="Q64" s="449"/>
      <c r="R64" s="395"/>
    </row>
    <row r="65" spans="1:17" ht="43.5" customHeight="1" x14ac:dyDescent="0.25">
      <c r="A65" s="412">
        <v>1</v>
      </c>
      <c r="B65" s="413" t="s">
        <v>432</v>
      </c>
      <c r="C65" s="414">
        <v>3132</v>
      </c>
      <c r="D65" s="415">
        <v>316530</v>
      </c>
      <c r="E65" s="415">
        <v>100000</v>
      </c>
      <c r="F65" s="415">
        <v>2800000</v>
      </c>
      <c r="G65" s="415">
        <v>4714526</v>
      </c>
      <c r="H65" s="416">
        <v>2152733</v>
      </c>
      <c r="I65" s="209"/>
      <c r="J65" s="209"/>
      <c r="K65" s="209"/>
      <c r="L65" s="416"/>
      <c r="M65" s="209"/>
      <c r="N65" s="209"/>
      <c r="O65" s="209"/>
      <c r="P65" s="399">
        <f>27593+9210+4365673.2+34130+62202+4971200.4+613779.6</f>
        <v>10083788.200000001</v>
      </c>
      <c r="Q65" s="399">
        <f>27593+9210+4365673.2+34130+4971200.4+62202+613779.6</f>
        <v>10083788.200000001</v>
      </c>
    </row>
    <row r="66" spans="1:17" ht="33.75" customHeight="1" x14ac:dyDescent="0.25">
      <c r="A66" s="417">
        <f>A65+1</f>
        <v>2</v>
      </c>
      <c r="B66" s="418" t="s">
        <v>534</v>
      </c>
      <c r="C66" s="419">
        <v>3132</v>
      </c>
      <c r="D66" s="209"/>
      <c r="E66" s="209">
        <v>3780557</v>
      </c>
      <c r="F66" s="209"/>
      <c r="G66" s="209"/>
      <c r="H66" s="209">
        <f>2000000-2000000</f>
        <v>0</v>
      </c>
      <c r="I66" s="209"/>
      <c r="J66" s="209"/>
      <c r="K66" s="209"/>
      <c r="L66" s="209">
        <v>11619</v>
      </c>
      <c r="M66" s="209"/>
      <c r="N66" s="209">
        <v>3248095</v>
      </c>
      <c r="O66" s="209"/>
      <c r="P66" s="411">
        <f>1000000+26611.75+1501268.67</f>
        <v>2527880.42</v>
      </c>
      <c r="Q66" s="411">
        <f>2501268.67+26611.75</f>
        <v>2527880.42</v>
      </c>
    </row>
    <row r="67" spans="1:17" ht="28.5" hidden="1" customHeight="1" x14ac:dyDescent="0.25">
      <c r="A67" s="417"/>
      <c r="B67" s="418" t="s">
        <v>433</v>
      </c>
      <c r="C67" s="419">
        <v>3132</v>
      </c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368"/>
      <c r="Q67" s="420"/>
    </row>
    <row r="68" spans="1:17" ht="39" customHeight="1" x14ac:dyDescent="0.25">
      <c r="A68" s="417">
        <f t="shared" ref="A68:A101" si="2">A67+1</f>
        <v>1</v>
      </c>
      <c r="B68" s="418" t="s">
        <v>514</v>
      </c>
      <c r="C68" s="419">
        <v>3132</v>
      </c>
      <c r="D68" s="209"/>
      <c r="E68" s="209">
        <v>527863</v>
      </c>
      <c r="F68" s="209"/>
      <c r="G68" s="209">
        <v>50734</v>
      </c>
      <c r="H68" s="209">
        <v>2572224</v>
      </c>
      <c r="I68" s="209">
        <v>3672703</v>
      </c>
      <c r="J68" s="209"/>
      <c r="K68" s="209">
        <v>1073413</v>
      </c>
      <c r="L68" s="209"/>
      <c r="M68" s="416">
        <v>3063</v>
      </c>
      <c r="N68" s="209"/>
      <c r="O68" s="209"/>
      <c r="P68" s="369">
        <f>35600+13666+1124146.8+6642228+50734+30562</f>
        <v>7896936.7999999998</v>
      </c>
      <c r="Q68" s="420">
        <f>35600+1124146.8+13666+6642228+50734+30562</f>
        <v>7896936.7999999998</v>
      </c>
    </row>
    <row r="69" spans="1:17" ht="28.5" customHeight="1" x14ac:dyDescent="0.25">
      <c r="A69" s="417">
        <f t="shared" si="2"/>
        <v>2</v>
      </c>
      <c r="B69" s="418" t="s">
        <v>515</v>
      </c>
      <c r="C69" s="419">
        <v>3132</v>
      </c>
      <c r="D69" s="209"/>
      <c r="E69" s="209">
        <v>35185</v>
      </c>
      <c r="F69" s="209"/>
      <c r="G69" s="209"/>
      <c r="H69" s="209"/>
      <c r="I69" s="209"/>
      <c r="J69" s="209"/>
      <c r="K69" s="416"/>
      <c r="L69" s="209"/>
      <c r="M69" s="209"/>
      <c r="N69" s="209"/>
      <c r="O69" s="209"/>
      <c r="P69" s="369">
        <v>35185</v>
      </c>
      <c r="Q69" s="420">
        <f>27593+7592</f>
        <v>35185</v>
      </c>
    </row>
    <row r="70" spans="1:17" ht="33" customHeight="1" x14ac:dyDescent="0.25">
      <c r="A70" s="417">
        <f t="shared" si="2"/>
        <v>3</v>
      </c>
      <c r="B70" s="418" t="s">
        <v>516</v>
      </c>
      <c r="C70" s="419">
        <v>3132</v>
      </c>
      <c r="D70" s="209"/>
      <c r="E70" s="209">
        <v>100000</v>
      </c>
      <c r="F70" s="209"/>
      <c r="G70" s="209"/>
      <c r="H70" s="209">
        <v>183338</v>
      </c>
      <c r="I70" s="416">
        <v>1394984</v>
      </c>
      <c r="J70" s="209"/>
      <c r="K70" s="209"/>
      <c r="L70" s="209"/>
      <c r="M70" s="416">
        <v>0</v>
      </c>
      <c r="N70" s="209"/>
      <c r="O70" s="209"/>
      <c r="P70" s="369">
        <f>13797+4272+81931+1554527.31</f>
        <v>1654527.31</v>
      </c>
      <c r="Q70" s="420">
        <f>13797+4272+1615848+20610.31</f>
        <v>1654527.31</v>
      </c>
    </row>
    <row r="71" spans="1:17" ht="27.75" customHeight="1" x14ac:dyDescent="0.25">
      <c r="A71" s="417">
        <f t="shared" si="2"/>
        <v>4</v>
      </c>
      <c r="B71" s="418" t="s">
        <v>517</v>
      </c>
      <c r="C71" s="419">
        <v>3132</v>
      </c>
      <c r="D71" s="209"/>
      <c r="E71" s="343">
        <v>10477227</v>
      </c>
      <c r="F71" s="209"/>
      <c r="G71" s="209">
        <v>547266</v>
      </c>
      <c r="H71" s="209">
        <v>131572</v>
      </c>
      <c r="I71" s="416">
        <v>628810</v>
      </c>
      <c r="J71" s="209">
        <v>6346591</v>
      </c>
      <c r="K71" s="416">
        <v>5579318</v>
      </c>
      <c r="L71" s="209">
        <v>1074746</v>
      </c>
      <c r="M71" s="416">
        <v>1520787</v>
      </c>
      <c r="N71" s="209"/>
      <c r="O71" s="209"/>
      <c r="P71" s="369">
        <f>107493+48000+44507+350000+12671042.8+96083+9413455.2+3248388+100792.86+2352.64+224202</f>
        <v>26306316.5</v>
      </c>
      <c r="Q71" s="420">
        <f>107493+48000+12671042.8+350000+96083+44507+9413455.2+3248388+100792.86+224202+2352.64</f>
        <v>26306316.5</v>
      </c>
    </row>
    <row r="72" spans="1:17" ht="23.25" customHeight="1" x14ac:dyDescent="0.25">
      <c r="A72" s="417">
        <f t="shared" si="2"/>
        <v>5</v>
      </c>
      <c r="B72" s="418" t="s">
        <v>518</v>
      </c>
      <c r="C72" s="419">
        <v>3132</v>
      </c>
      <c r="D72" s="209"/>
      <c r="E72" s="209">
        <v>100000</v>
      </c>
      <c r="F72" s="209"/>
      <c r="G72" s="209">
        <v>100000</v>
      </c>
      <c r="H72" s="209"/>
      <c r="I72" s="209"/>
      <c r="J72" s="209"/>
      <c r="K72" s="209"/>
      <c r="L72" s="209">
        <f>100000-100000</f>
        <v>0</v>
      </c>
      <c r="M72" s="209">
        <v>322979</v>
      </c>
      <c r="N72" s="209"/>
      <c r="O72" s="209"/>
      <c r="P72" s="369">
        <f>100000+84438+72404</f>
        <v>256842</v>
      </c>
      <c r="Q72" s="420">
        <f>100000+84438+72404</f>
        <v>256842</v>
      </c>
    </row>
    <row r="73" spans="1:17" ht="28.5" customHeight="1" x14ac:dyDescent="0.25">
      <c r="A73" s="417">
        <f t="shared" si="2"/>
        <v>6</v>
      </c>
      <c r="B73" s="421" t="s">
        <v>535</v>
      </c>
      <c r="C73" s="419">
        <v>3132</v>
      </c>
      <c r="D73" s="209"/>
      <c r="E73" s="209">
        <v>841841</v>
      </c>
      <c r="F73" s="209"/>
      <c r="G73" s="209">
        <v>34627</v>
      </c>
      <c r="H73" s="416">
        <v>20695</v>
      </c>
      <c r="I73" s="209"/>
      <c r="J73" s="209"/>
      <c r="K73" s="209"/>
      <c r="L73" s="416">
        <v>3387281.04</v>
      </c>
      <c r="M73" s="416"/>
      <c r="N73" s="209"/>
      <c r="O73" s="209">
        <v>786286</v>
      </c>
      <c r="P73" s="369">
        <f>49730+5592+2281349.53+28263.82+1077667.69+1258915+123035.2+13436.08+16852.31</f>
        <v>4854841.629999999</v>
      </c>
      <c r="Q73" s="420">
        <f>49730+5592+2281349.53+28263.82+1077667.69+13436.08+1381950.2+16852.31</f>
        <v>4854841.629999999</v>
      </c>
    </row>
    <row r="74" spans="1:17" ht="35.25" customHeight="1" x14ac:dyDescent="0.25">
      <c r="A74" s="417">
        <f t="shared" si="2"/>
        <v>7</v>
      </c>
      <c r="B74" s="418" t="s">
        <v>468</v>
      </c>
      <c r="C74" s="419">
        <v>3132</v>
      </c>
      <c r="D74" s="209"/>
      <c r="E74" s="209"/>
      <c r="F74" s="209"/>
      <c r="G74" s="209"/>
      <c r="H74" s="343">
        <v>46575</v>
      </c>
      <c r="I74" s="209"/>
      <c r="J74" s="209"/>
      <c r="K74" s="209"/>
      <c r="L74" s="209"/>
      <c r="M74" s="209"/>
      <c r="N74" s="209"/>
      <c r="O74" s="209"/>
      <c r="P74" s="369">
        <f>20695+25880</f>
        <v>46575</v>
      </c>
      <c r="Q74" s="420">
        <f>20695+25880</f>
        <v>46575</v>
      </c>
    </row>
    <row r="75" spans="1:17" ht="39" customHeight="1" x14ac:dyDescent="0.25">
      <c r="A75" s="417">
        <f t="shared" si="2"/>
        <v>8</v>
      </c>
      <c r="B75" s="418" t="s">
        <v>462</v>
      </c>
      <c r="C75" s="419">
        <v>3132</v>
      </c>
      <c r="D75" s="209"/>
      <c r="E75" s="343">
        <v>70462</v>
      </c>
      <c r="F75" s="209"/>
      <c r="G75" s="209"/>
      <c r="H75" s="343"/>
      <c r="I75" s="209"/>
      <c r="J75" s="209"/>
      <c r="K75" s="209"/>
      <c r="L75" s="209"/>
      <c r="M75" s="209"/>
      <c r="N75" s="209"/>
      <c r="O75" s="209"/>
      <c r="P75" s="369">
        <f>60004+10458</f>
        <v>70462</v>
      </c>
      <c r="Q75" s="420">
        <f>60004+10458</f>
        <v>70462</v>
      </c>
    </row>
    <row r="76" spans="1:17" ht="55.5" customHeight="1" x14ac:dyDescent="0.25">
      <c r="A76" s="417">
        <f t="shared" si="2"/>
        <v>9</v>
      </c>
      <c r="B76" s="418" t="s">
        <v>519</v>
      </c>
      <c r="C76" s="419">
        <v>3132</v>
      </c>
      <c r="D76" s="209"/>
      <c r="E76" s="343">
        <v>63148</v>
      </c>
      <c r="F76" s="209"/>
      <c r="G76" s="209"/>
      <c r="H76" s="343"/>
      <c r="I76" s="209"/>
      <c r="J76" s="209"/>
      <c r="K76" s="209"/>
      <c r="L76" s="209"/>
      <c r="M76" s="209"/>
      <c r="N76" s="209"/>
      <c r="O76" s="209"/>
      <c r="P76" s="370">
        <f>53716+9432</f>
        <v>63148</v>
      </c>
      <c r="Q76" s="420">
        <f>53716+9432</f>
        <v>63148</v>
      </c>
    </row>
    <row r="77" spans="1:17" ht="60.75" hidden="1" customHeight="1" x14ac:dyDescent="0.25">
      <c r="A77" s="417"/>
      <c r="B77" s="418" t="s">
        <v>536</v>
      </c>
      <c r="C77" s="419">
        <v>3132</v>
      </c>
      <c r="D77" s="209"/>
      <c r="E77" s="343"/>
      <c r="F77" s="209"/>
      <c r="G77" s="209"/>
      <c r="H77" s="343"/>
      <c r="I77" s="209"/>
      <c r="J77" s="209"/>
      <c r="K77" s="209"/>
      <c r="L77" s="209"/>
      <c r="M77" s="209"/>
      <c r="N77" s="209"/>
      <c r="O77" s="209"/>
      <c r="P77" s="368"/>
      <c r="Q77" s="420"/>
    </row>
    <row r="78" spans="1:17" ht="41.25" customHeight="1" x14ac:dyDescent="0.25">
      <c r="A78" s="417">
        <f>A76+1</f>
        <v>10</v>
      </c>
      <c r="B78" s="418" t="s">
        <v>520</v>
      </c>
      <c r="C78" s="419">
        <v>3132</v>
      </c>
      <c r="D78" s="209"/>
      <c r="E78" s="209">
        <v>35313</v>
      </c>
      <c r="F78" s="209"/>
      <c r="G78" s="209"/>
      <c r="H78" s="343"/>
      <c r="I78" s="209"/>
      <c r="J78" s="209"/>
      <c r="K78" s="209"/>
      <c r="L78" s="209"/>
      <c r="M78" s="209"/>
      <c r="N78" s="209"/>
      <c r="O78" s="209"/>
      <c r="P78" s="370">
        <v>35313</v>
      </c>
      <c r="Q78" s="420">
        <v>35313</v>
      </c>
    </row>
    <row r="79" spans="1:17" ht="28.5" customHeight="1" x14ac:dyDescent="0.25">
      <c r="A79" s="417">
        <f t="shared" si="2"/>
        <v>11</v>
      </c>
      <c r="B79" s="421" t="s">
        <v>477</v>
      </c>
      <c r="C79" s="419">
        <v>3132</v>
      </c>
      <c r="D79" s="209"/>
      <c r="E79" s="209">
        <v>1312993</v>
      </c>
      <c r="F79" s="209"/>
      <c r="G79" s="209"/>
      <c r="H79" s="343"/>
      <c r="I79" s="209"/>
      <c r="J79" s="209"/>
      <c r="K79" s="209"/>
      <c r="L79" s="209"/>
      <c r="M79" s="209"/>
      <c r="N79" s="209"/>
      <c r="O79" s="209"/>
      <c r="P79" s="369">
        <f>13116+1276876.8+16759.41+6240</f>
        <v>1312992.21</v>
      </c>
      <c r="Q79" s="420">
        <f>13116+6240+1276876.8+16759.41</f>
        <v>1312992.21</v>
      </c>
    </row>
    <row r="80" spans="1:17" ht="28.5" customHeight="1" x14ac:dyDescent="0.25">
      <c r="A80" s="417">
        <f t="shared" si="2"/>
        <v>12</v>
      </c>
      <c r="B80" s="421" t="s">
        <v>478</v>
      </c>
      <c r="C80" s="419">
        <v>3132</v>
      </c>
      <c r="D80" s="209"/>
      <c r="E80" s="209">
        <v>756113</v>
      </c>
      <c r="F80" s="209"/>
      <c r="G80" s="209"/>
      <c r="H80" s="343"/>
      <c r="I80" s="209"/>
      <c r="J80" s="209"/>
      <c r="K80" s="209"/>
      <c r="L80" s="209"/>
      <c r="M80" s="209"/>
      <c r="N80" s="209"/>
      <c r="O80" s="209"/>
      <c r="P80" s="369">
        <f>9368+737067.6+9677.33</f>
        <v>756112.92999999993</v>
      </c>
      <c r="Q80" s="420">
        <f>9368+737067.6+9677.33</f>
        <v>756112.92999999993</v>
      </c>
    </row>
    <row r="81" spans="1:17" ht="25.5" customHeight="1" x14ac:dyDescent="0.25">
      <c r="A81" s="417">
        <f t="shared" si="2"/>
        <v>13</v>
      </c>
      <c r="B81" s="421" t="s">
        <v>529</v>
      </c>
      <c r="C81" s="419">
        <v>3132</v>
      </c>
      <c r="D81" s="209"/>
      <c r="E81" s="209">
        <v>597955</v>
      </c>
      <c r="F81" s="209"/>
      <c r="G81" s="209"/>
      <c r="H81" s="343"/>
      <c r="I81" s="209"/>
      <c r="J81" s="209"/>
      <c r="K81" s="209"/>
      <c r="L81" s="209"/>
      <c r="M81" s="209"/>
      <c r="N81" s="209"/>
      <c r="O81" s="209"/>
      <c r="P81" s="369">
        <f>9368+579463.2+9122.81</f>
        <v>597954.01</v>
      </c>
      <c r="Q81" s="420">
        <f>9368+579463.2+9122.81</f>
        <v>597954.01</v>
      </c>
    </row>
    <row r="82" spans="1:17" ht="37.5" customHeight="1" x14ac:dyDescent="0.25">
      <c r="A82" s="417">
        <f t="shared" si="2"/>
        <v>14</v>
      </c>
      <c r="B82" s="421" t="s">
        <v>530</v>
      </c>
      <c r="C82" s="419">
        <v>3132</v>
      </c>
      <c r="D82" s="209"/>
      <c r="E82" s="209">
        <v>1491822</v>
      </c>
      <c r="F82" s="209"/>
      <c r="G82" s="209"/>
      <c r="H82" s="343"/>
      <c r="I82" s="209"/>
      <c r="J82" s="209"/>
      <c r="K82" s="209"/>
      <c r="L82" s="209"/>
      <c r="M82" s="209"/>
      <c r="N82" s="209"/>
      <c r="O82" s="209"/>
      <c r="P82" s="369">
        <f>13116+6240+1453384.8+19080.21</f>
        <v>1491821.01</v>
      </c>
      <c r="Q82" s="420">
        <f>13116+6240+1453384.8+19080.21</f>
        <v>1491821.01</v>
      </c>
    </row>
    <row r="83" spans="1:17" ht="27.75" customHeight="1" x14ac:dyDescent="0.25">
      <c r="A83" s="417">
        <f t="shared" si="2"/>
        <v>15</v>
      </c>
      <c r="B83" s="421" t="s">
        <v>479</v>
      </c>
      <c r="C83" s="419">
        <v>3132</v>
      </c>
      <c r="D83" s="209"/>
      <c r="E83" s="209">
        <v>383173</v>
      </c>
      <c r="F83" s="209">
        <v>214470</v>
      </c>
      <c r="G83" s="209"/>
      <c r="H83" s="343"/>
      <c r="I83" s="209">
        <v>9643</v>
      </c>
      <c r="J83" s="209"/>
      <c r="K83" s="209"/>
      <c r="L83" s="209"/>
      <c r="M83" s="209">
        <v>152357</v>
      </c>
      <c r="N83" s="209"/>
      <c r="O83" s="209"/>
      <c r="P83" s="369">
        <f>9368+740569.2+9704.83</f>
        <v>759642.02999999991</v>
      </c>
      <c r="Q83" s="420">
        <f>9368+740569.2+9704.83</f>
        <v>759642.02999999991</v>
      </c>
    </row>
    <row r="84" spans="1:17" ht="28.5" customHeight="1" x14ac:dyDescent="0.25">
      <c r="A84" s="417">
        <f t="shared" si="2"/>
        <v>16</v>
      </c>
      <c r="B84" s="421" t="s">
        <v>480</v>
      </c>
      <c r="C84" s="419">
        <v>3132</v>
      </c>
      <c r="D84" s="209"/>
      <c r="E84" s="209">
        <v>5</v>
      </c>
      <c r="F84" s="209">
        <v>616057</v>
      </c>
      <c r="G84" s="209"/>
      <c r="H84" s="343"/>
      <c r="I84" s="209"/>
      <c r="J84" s="209"/>
      <c r="K84" s="209"/>
      <c r="L84" s="209"/>
      <c r="M84" s="209"/>
      <c r="N84" s="209"/>
      <c r="O84" s="209"/>
      <c r="P84" s="369">
        <f>7865.52+598827.6+9368</f>
        <v>616061.12</v>
      </c>
      <c r="Q84" s="420">
        <f>9368+7865.52+598827.6</f>
        <v>616061.12</v>
      </c>
    </row>
    <row r="85" spans="1:17" ht="30.75" customHeight="1" x14ac:dyDescent="0.25">
      <c r="A85" s="417">
        <f t="shared" si="2"/>
        <v>17</v>
      </c>
      <c r="B85" s="421" t="s">
        <v>481</v>
      </c>
      <c r="C85" s="419">
        <v>3132</v>
      </c>
      <c r="D85" s="209"/>
      <c r="E85" s="209"/>
      <c r="F85" s="209">
        <v>847496</v>
      </c>
      <c r="G85" s="209"/>
      <c r="H85" s="343"/>
      <c r="I85" s="209"/>
      <c r="J85" s="209"/>
      <c r="K85" s="209"/>
      <c r="L85" s="209"/>
      <c r="M85" s="209"/>
      <c r="N85" s="209"/>
      <c r="O85" s="209"/>
      <c r="P85" s="369">
        <f>11242+825416.4+10837.01</f>
        <v>847495.41</v>
      </c>
      <c r="Q85" s="420">
        <f>11242+825416.4+10837.01</f>
        <v>847495.41</v>
      </c>
    </row>
    <row r="86" spans="1:17" ht="40.5" customHeight="1" x14ac:dyDescent="0.25">
      <c r="A86" s="417">
        <f t="shared" si="2"/>
        <v>18</v>
      </c>
      <c r="B86" s="421" t="s">
        <v>482</v>
      </c>
      <c r="C86" s="419">
        <v>3132</v>
      </c>
      <c r="D86" s="209"/>
      <c r="E86" s="209"/>
      <c r="F86" s="209">
        <v>549651</v>
      </c>
      <c r="G86" s="209"/>
      <c r="H86" s="343"/>
      <c r="I86" s="209"/>
      <c r="J86" s="209"/>
      <c r="K86" s="209"/>
      <c r="L86" s="209"/>
      <c r="M86" s="209">
        <v>20000</v>
      </c>
      <c r="N86" s="209"/>
      <c r="O86" s="209"/>
      <c r="P86" s="369">
        <f>9368+553014+7268.57</f>
        <v>569650.56999999995</v>
      </c>
      <c r="Q86" s="420">
        <f>9368+553014+7268.57</f>
        <v>569650.56999999995</v>
      </c>
    </row>
    <row r="87" spans="1:17" ht="45" customHeight="1" x14ac:dyDescent="0.25">
      <c r="A87" s="417">
        <f t="shared" si="2"/>
        <v>19</v>
      </c>
      <c r="B87" s="421" t="s">
        <v>483</v>
      </c>
      <c r="C87" s="419">
        <v>3132</v>
      </c>
      <c r="D87" s="209"/>
      <c r="E87" s="209"/>
      <c r="F87" s="209">
        <v>1280441</v>
      </c>
      <c r="G87" s="209"/>
      <c r="H87" s="343"/>
      <c r="I87" s="209"/>
      <c r="J87" s="209"/>
      <c r="K87" s="209"/>
      <c r="L87" s="209"/>
      <c r="M87" s="209">
        <v>6240</v>
      </c>
      <c r="N87" s="209"/>
      <c r="O87" s="209"/>
      <c r="P87" s="369">
        <f>13116+1250889.6+16434.78+6240</f>
        <v>1286680.3800000001</v>
      </c>
      <c r="Q87" s="420">
        <f>13116+6240+1250889.6+16434.78</f>
        <v>1286680.3800000001</v>
      </c>
    </row>
    <row r="88" spans="1:17" ht="27.75" customHeight="1" x14ac:dyDescent="0.25">
      <c r="A88" s="417">
        <f t="shared" si="2"/>
        <v>20</v>
      </c>
      <c r="B88" s="421" t="s">
        <v>484</v>
      </c>
      <c r="C88" s="419">
        <v>3132</v>
      </c>
      <c r="D88" s="209"/>
      <c r="E88" s="209"/>
      <c r="F88" s="209">
        <v>1491885</v>
      </c>
      <c r="G88" s="209"/>
      <c r="H88" s="343"/>
      <c r="I88" s="209"/>
      <c r="J88" s="209"/>
      <c r="K88" s="209"/>
      <c r="L88" s="209"/>
      <c r="M88" s="209"/>
      <c r="N88" s="209"/>
      <c r="O88" s="209"/>
      <c r="P88" s="369">
        <f>13116+6240+1453474.8+19053.98</f>
        <v>1491884.78</v>
      </c>
      <c r="Q88" s="420">
        <f>13116+6240+1453474.8+19053.98</f>
        <v>1491884.78</v>
      </c>
    </row>
    <row r="89" spans="1:17" ht="29.25" customHeight="1" x14ac:dyDescent="0.25">
      <c r="A89" s="417">
        <f t="shared" si="2"/>
        <v>21</v>
      </c>
      <c r="B89" s="421" t="s">
        <v>485</v>
      </c>
      <c r="C89" s="419">
        <v>3132</v>
      </c>
      <c r="D89" s="209"/>
      <c r="E89" s="209"/>
      <c r="F89" s="209"/>
      <c r="G89" s="209"/>
      <c r="H89" s="343"/>
      <c r="I89" s="209"/>
      <c r="J89" s="209">
        <v>602883</v>
      </c>
      <c r="K89" s="209"/>
      <c r="L89" s="209"/>
      <c r="M89" s="209">
        <v>818724</v>
      </c>
      <c r="N89" s="209"/>
      <c r="O89" s="209"/>
      <c r="P89" s="369">
        <f>13116+6240+1384086+18164.4</f>
        <v>1421606.4</v>
      </c>
      <c r="Q89" s="420">
        <f>13116+6240+1384086+18164.4</f>
        <v>1421606.4</v>
      </c>
    </row>
    <row r="90" spans="1:17" ht="28.5" customHeight="1" x14ac:dyDescent="0.25">
      <c r="A90" s="417">
        <f t="shared" si="2"/>
        <v>22</v>
      </c>
      <c r="B90" s="421" t="s">
        <v>486</v>
      </c>
      <c r="C90" s="419">
        <v>3132</v>
      </c>
      <c r="D90" s="209"/>
      <c r="E90" s="209">
        <v>1400492</v>
      </c>
      <c r="F90" s="209"/>
      <c r="G90" s="209"/>
      <c r="H90" s="343"/>
      <c r="I90" s="209"/>
      <c r="J90" s="209"/>
      <c r="K90" s="209"/>
      <c r="L90" s="209"/>
      <c r="M90" s="209"/>
      <c r="N90" s="209"/>
      <c r="O90" s="209"/>
      <c r="P90" s="369">
        <f>11242+6240+1365099.6+17910.16</f>
        <v>1400491.76</v>
      </c>
      <c r="Q90" s="420">
        <f>11242+6240+1365099.6+17910.16</f>
        <v>1400491.76</v>
      </c>
    </row>
    <row r="91" spans="1:17" ht="27" customHeight="1" x14ac:dyDescent="0.25">
      <c r="A91" s="417">
        <f t="shared" si="2"/>
        <v>23</v>
      </c>
      <c r="B91" s="421" t="s">
        <v>487</v>
      </c>
      <c r="C91" s="419">
        <v>3132</v>
      </c>
      <c r="D91" s="209"/>
      <c r="E91" s="209">
        <v>9128</v>
      </c>
      <c r="F91" s="209"/>
      <c r="G91" s="209">
        <v>1193000</v>
      </c>
      <c r="H91" s="343">
        <v>296000</v>
      </c>
      <c r="I91" s="209">
        <v>872</v>
      </c>
      <c r="J91" s="209"/>
      <c r="K91" s="209"/>
      <c r="L91" s="209"/>
      <c r="M91" s="209"/>
      <c r="N91" s="209"/>
      <c r="O91" s="209"/>
      <c r="P91" s="369">
        <f>13116+6240+1451487.6+19027.85</f>
        <v>1489871.4500000002</v>
      </c>
      <c r="Q91" s="420">
        <f>13116+6240+1451487.6+19027.85</f>
        <v>1489871.4500000002</v>
      </c>
    </row>
    <row r="92" spans="1:17" ht="26.25" customHeight="1" x14ac:dyDescent="0.25">
      <c r="A92" s="417">
        <f t="shared" si="2"/>
        <v>24</v>
      </c>
      <c r="B92" s="421" t="s">
        <v>488</v>
      </c>
      <c r="C92" s="419">
        <v>3132</v>
      </c>
      <c r="D92" s="209"/>
      <c r="E92" s="209"/>
      <c r="F92" s="209"/>
      <c r="G92" s="209">
        <v>1082000</v>
      </c>
      <c r="H92" s="343">
        <v>444</v>
      </c>
      <c r="I92" s="209"/>
      <c r="J92" s="209"/>
      <c r="K92" s="209"/>
      <c r="L92" s="209"/>
      <c r="M92" s="209"/>
      <c r="N92" s="209"/>
      <c r="O92" s="209"/>
      <c r="P92" s="369">
        <f>13116+969634.8+12692.87</f>
        <v>995443.67</v>
      </c>
      <c r="Q92" s="420">
        <f>13116+969634.8+12692.87</f>
        <v>995443.67</v>
      </c>
    </row>
    <row r="93" spans="1:17" ht="30.75" customHeight="1" x14ac:dyDescent="0.25">
      <c r="A93" s="417">
        <f t="shared" si="2"/>
        <v>25</v>
      </c>
      <c r="B93" s="421" t="s">
        <v>489</v>
      </c>
      <c r="C93" s="419">
        <v>3132</v>
      </c>
      <c r="D93" s="209"/>
      <c r="E93" s="209"/>
      <c r="F93" s="209"/>
      <c r="G93" s="209"/>
      <c r="H93" s="343"/>
      <c r="I93" s="209"/>
      <c r="J93" s="209"/>
      <c r="K93" s="209"/>
      <c r="L93" s="209">
        <v>19356</v>
      </c>
      <c r="M93" s="209"/>
      <c r="N93" s="209"/>
      <c r="O93" s="209"/>
      <c r="P93" s="369">
        <f>13116+6240</f>
        <v>19356</v>
      </c>
      <c r="Q93" s="420">
        <f>13116+6240</f>
        <v>19356</v>
      </c>
    </row>
    <row r="94" spans="1:17" ht="28.5" customHeight="1" x14ac:dyDescent="0.25">
      <c r="A94" s="417">
        <f t="shared" si="2"/>
        <v>26</v>
      </c>
      <c r="B94" s="421" t="s">
        <v>531</v>
      </c>
      <c r="C94" s="419">
        <v>3132</v>
      </c>
      <c r="D94" s="209"/>
      <c r="E94" s="209">
        <v>539118</v>
      </c>
      <c r="F94" s="209"/>
      <c r="G94" s="209"/>
      <c r="H94" s="343"/>
      <c r="I94" s="209"/>
      <c r="J94" s="209"/>
      <c r="K94" s="209"/>
      <c r="L94" s="209"/>
      <c r="M94" s="209"/>
      <c r="N94" s="209"/>
      <c r="O94" s="209"/>
      <c r="P94" s="369">
        <f>9368+522888+6861.57</f>
        <v>539117.56999999995</v>
      </c>
      <c r="Q94" s="420">
        <f>9368+522888+6861.57</f>
        <v>539117.56999999995</v>
      </c>
    </row>
    <row r="95" spans="1:17" ht="25.5" customHeight="1" x14ac:dyDescent="0.25">
      <c r="A95" s="417">
        <f t="shared" si="2"/>
        <v>27</v>
      </c>
      <c r="B95" s="421" t="s">
        <v>490</v>
      </c>
      <c r="C95" s="419">
        <v>3132</v>
      </c>
      <c r="D95" s="209"/>
      <c r="E95" s="209"/>
      <c r="F95" s="209"/>
      <c r="G95" s="209"/>
      <c r="H95" s="343"/>
      <c r="I95" s="209">
        <v>31324</v>
      </c>
      <c r="J95" s="209">
        <v>316206</v>
      </c>
      <c r="K95" s="209"/>
      <c r="L95" s="209">
        <v>1000000</v>
      </c>
      <c r="M95" s="209"/>
      <c r="N95" s="209"/>
      <c r="O95" s="209"/>
      <c r="P95" s="369">
        <f>11242+6240+1312814.4+17232.92</f>
        <v>1347529.3199999998</v>
      </c>
      <c r="Q95" s="420">
        <f>11242+6240+1312814.4+17232.92</f>
        <v>1347529.3199999998</v>
      </c>
    </row>
    <row r="96" spans="1:17" ht="29.25" customHeight="1" x14ac:dyDescent="0.25">
      <c r="A96" s="417">
        <f t="shared" si="2"/>
        <v>28</v>
      </c>
      <c r="B96" s="421" t="s">
        <v>491</v>
      </c>
      <c r="C96" s="419">
        <v>3132</v>
      </c>
      <c r="D96" s="209"/>
      <c r="E96" s="209">
        <v>786286</v>
      </c>
      <c r="F96" s="209"/>
      <c r="G96" s="209"/>
      <c r="H96" s="343"/>
      <c r="I96" s="209"/>
      <c r="J96" s="209"/>
      <c r="K96" s="209"/>
      <c r="L96" s="209">
        <v>679579</v>
      </c>
      <c r="M96" s="209"/>
      <c r="N96" s="209"/>
      <c r="O96" s="209"/>
      <c r="P96" s="369">
        <f>13116+6240+1427788.8+18719.58</f>
        <v>1465864.3800000001</v>
      </c>
      <c r="Q96" s="420">
        <f>13116+6240+1427788.8+18719.58</f>
        <v>1465864.3800000001</v>
      </c>
    </row>
    <row r="97" spans="1:17" ht="21" customHeight="1" x14ac:dyDescent="0.25">
      <c r="A97" s="417">
        <f t="shared" si="2"/>
        <v>29</v>
      </c>
      <c r="B97" s="421" t="s">
        <v>492</v>
      </c>
      <c r="C97" s="419">
        <v>3132</v>
      </c>
      <c r="D97" s="209"/>
      <c r="E97" s="209">
        <v>676159</v>
      </c>
      <c r="F97" s="209"/>
      <c r="G97" s="209"/>
      <c r="H97" s="343"/>
      <c r="I97" s="209"/>
      <c r="J97" s="209"/>
      <c r="K97" s="209"/>
      <c r="L97" s="209"/>
      <c r="M97" s="209"/>
      <c r="N97" s="209"/>
      <c r="O97" s="209"/>
      <c r="P97" s="369">
        <f>11242+656305.2+8611.19</f>
        <v>676158.3899999999</v>
      </c>
      <c r="Q97" s="420">
        <f>11242+656305.2+8611.19</f>
        <v>676158.3899999999</v>
      </c>
    </row>
    <row r="98" spans="1:17" ht="26.25" customHeight="1" x14ac:dyDescent="0.25">
      <c r="A98" s="417">
        <f t="shared" si="2"/>
        <v>30</v>
      </c>
      <c r="B98" s="421" t="s">
        <v>493</v>
      </c>
      <c r="C98" s="419">
        <v>3132</v>
      </c>
      <c r="D98" s="209"/>
      <c r="E98" s="209">
        <v>1493977</v>
      </c>
      <c r="F98" s="209"/>
      <c r="G98" s="209"/>
      <c r="H98" s="343"/>
      <c r="I98" s="209"/>
      <c r="J98" s="209"/>
      <c r="K98" s="209"/>
      <c r="L98" s="209"/>
      <c r="M98" s="209"/>
      <c r="N98" s="209"/>
      <c r="O98" s="209"/>
      <c r="P98" s="369">
        <f>13116+6240+1455523.2+19097.48</f>
        <v>1493976.68</v>
      </c>
      <c r="Q98" s="420">
        <f>13116+6240+1455523.2+19097.48</f>
        <v>1493976.68</v>
      </c>
    </row>
    <row r="99" spans="1:17" ht="24" customHeight="1" x14ac:dyDescent="0.25">
      <c r="A99" s="417">
        <f t="shared" si="2"/>
        <v>31</v>
      </c>
      <c r="B99" s="421" t="s">
        <v>494</v>
      </c>
      <c r="C99" s="419">
        <v>3132</v>
      </c>
      <c r="D99" s="209"/>
      <c r="E99" s="209">
        <v>727669</v>
      </c>
      <c r="F99" s="209"/>
      <c r="G99" s="209"/>
      <c r="H99" s="343">
        <v>423714</v>
      </c>
      <c r="I99" s="209">
        <v>341284</v>
      </c>
      <c r="J99" s="209"/>
      <c r="K99" s="209"/>
      <c r="L99" s="209"/>
      <c r="M99" s="209"/>
      <c r="N99" s="209"/>
      <c r="O99" s="209"/>
      <c r="P99" s="369">
        <f>13116+6240+1454236.8+19074.02</f>
        <v>1492666.82</v>
      </c>
      <c r="Q99" s="420">
        <f>13116+6240+1454236.8+19074.02</f>
        <v>1492666.82</v>
      </c>
    </row>
    <row r="100" spans="1:17" ht="27" customHeight="1" x14ac:dyDescent="0.25">
      <c r="A100" s="417">
        <f t="shared" si="2"/>
        <v>32</v>
      </c>
      <c r="B100" s="421" t="s">
        <v>495</v>
      </c>
      <c r="C100" s="419">
        <v>3132</v>
      </c>
      <c r="D100" s="209"/>
      <c r="E100" s="209">
        <v>641185</v>
      </c>
      <c r="F100" s="209"/>
      <c r="G100" s="209"/>
      <c r="H100" s="343"/>
      <c r="I100" s="209"/>
      <c r="J100" s="209"/>
      <c r="K100" s="209"/>
      <c r="L100" s="209"/>
      <c r="M100" s="209"/>
      <c r="N100" s="209"/>
      <c r="O100" s="209"/>
      <c r="P100" s="369">
        <f>11242+621790.8+8151.82</f>
        <v>641184.62</v>
      </c>
      <c r="Q100" s="420">
        <f>11242+621790.8+8151.82</f>
        <v>641184.62</v>
      </c>
    </row>
    <row r="101" spans="1:17" ht="36.75" customHeight="1" x14ac:dyDescent="0.25">
      <c r="A101" s="422">
        <f t="shared" si="2"/>
        <v>33</v>
      </c>
      <c r="B101" s="423" t="s">
        <v>521</v>
      </c>
      <c r="C101" s="424">
        <v>3132</v>
      </c>
      <c r="D101" s="425"/>
      <c r="E101" s="425">
        <v>989604</v>
      </c>
      <c r="F101" s="425"/>
      <c r="G101" s="425"/>
      <c r="H101" s="426"/>
      <c r="I101" s="425"/>
      <c r="J101" s="425"/>
      <c r="K101" s="425"/>
      <c r="L101" s="425"/>
      <c r="M101" s="425"/>
      <c r="N101" s="425"/>
      <c r="O101" s="425"/>
      <c r="P101" s="371">
        <f>11242+965690.4+12671.21</f>
        <v>989603.61</v>
      </c>
      <c r="Q101" s="420">
        <f>11242+965690.4+12671.21</f>
        <v>989603.61</v>
      </c>
    </row>
    <row r="102" spans="1:17" ht="36.75" customHeight="1" x14ac:dyDescent="0.25">
      <c r="A102" s="443">
        <v>34</v>
      </c>
      <c r="B102" s="423" t="s">
        <v>539</v>
      </c>
      <c r="C102" s="424">
        <v>3132</v>
      </c>
      <c r="D102" s="425"/>
      <c r="E102" s="425"/>
      <c r="F102" s="425"/>
      <c r="G102" s="425"/>
      <c r="H102" s="426"/>
      <c r="I102" s="425"/>
      <c r="J102" s="425"/>
      <c r="K102" s="425"/>
      <c r="L102" s="425"/>
      <c r="M102" s="425"/>
      <c r="N102" s="425"/>
      <c r="O102" s="425"/>
      <c r="P102" s="371">
        <v>3512297.18</v>
      </c>
      <c r="Q102" s="444"/>
    </row>
    <row r="103" spans="1:17" ht="36.75" customHeight="1" thickBot="1" x14ac:dyDescent="0.3">
      <c r="A103" s="443">
        <v>35</v>
      </c>
      <c r="B103" s="421" t="s">
        <v>540</v>
      </c>
      <c r="C103" s="419">
        <v>3132</v>
      </c>
      <c r="D103" s="209"/>
      <c r="E103" s="209"/>
      <c r="F103" s="209"/>
      <c r="G103" s="209"/>
      <c r="H103" s="343"/>
      <c r="I103" s="209"/>
      <c r="J103" s="209"/>
      <c r="K103" s="209"/>
      <c r="L103" s="209"/>
      <c r="M103" s="209"/>
      <c r="N103" s="209"/>
      <c r="O103" s="209"/>
      <c r="P103" s="370">
        <v>5607471.1799999997</v>
      </c>
      <c r="Q103" s="444"/>
    </row>
    <row r="104" spans="1:17" ht="38.25" customHeight="1" thickTop="1" thickBot="1" x14ac:dyDescent="0.3">
      <c r="A104" s="447" t="s">
        <v>526</v>
      </c>
      <c r="B104" s="448"/>
      <c r="C104" s="448"/>
      <c r="D104" s="448"/>
      <c r="E104" s="448"/>
      <c r="F104" s="448"/>
      <c r="G104" s="448"/>
      <c r="H104" s="448"/>
      <c r="I104" s="448"/>
      <c r="J104" s="448"/>
      <c r="K104" s="448"/>
      <c r="L104" s="448"/>
      <c r="M104" s="448"/>
      <c r="N104" s="448"/>
      <c r="O104" s="448"/>
      <c r="P104" s="449"/>
      <c r="Q104" s="427" t="s">
        <v>22</v>
      </c>
    </row>
    <row r="105" spans="1:17" ht="54.75" customHeight="1" thickTop="1" thickBot="1" x14ac:dyDescent="0.3">
      <c r="A105" s="428">
        <v>1</v>
      </c>
      <c r="B105" s="429" t="s">
        <v>522</v>
      </c>
      <c r="C105" s="430">
        <v>3122</v>
      </c>
      <c r="D105" s="431"/>
      <c r="E105" s="432">
        <v>557718</v>
      </c>
      <c r="F105" s="432"/>
      <c r="G105" s="432"/>
      <c r="H105" s="432"/>
      <c r="I105" s="432"/>
      <c r="J105" s="432"/>
      <c r="K105" s="433"/>
      <c r="L105" s="433"/>
      <c r="M105" s="432"/>
      <c r="N105" s="433"/>
      <c r="O105" s="433"/>
      <c r="P105" s="376">
        <f>269221+189747+98750</f>
        <v>557718</v>
      </c>
      <c r="Q105" s="325">
        <f>269221+189747+98750</f>
        <v>557718</v>
      </c>
    </row>
    <row r="106" spans="1:17" ht="45" customHeight="1" x14ac:dyDescent="0.25">
      <c r="A106" s="434">
        <v>2</v>
      </c>
      <c r="B106" s="435" t="s">
        <v>523</v>
      </c>
      <c r="C106" s="436">
        <v>3122</v>
      </c>
      <c r="D106" s="437"/>
      <c r="E106" s="438">
        <v>399416</v>
      </c>
      <c r="F106" s="437"/>
      <c r="G106" s="437"/>
      <c r="H106" s="437"/>
      <c r="I106" s="437"/>
      <c r="J106" s="437"/>
      <c r="K106" s="437"/>
      <c r="L106" s="437"/>
      <c r="M106" s="437"/>
      <c r="N106" s="437"/>
      <c r="O106" s="437"/>
      <c r="P106" s="368">
        <f>237510+161906</f>
        <v>399416</v>
      </c>
      <c r="Q106" s="325">
        <f>237510+161906</f>
        <v>399416</v>
      </c>
    </row>
    <row r="107" spans="1:17" ht="33" hidden="1" customHeight="1" thickBot="1" x14ac:dyDescent="0.3">
      <c r="A107" s="356"/>
      <c r="B107" s="342" t="s">
        <v>464</v>
      </c>
      <c r="C107" s="85">
        <v>3122</v>
      </c>
      <c r="D107" s="336"/>
      <c r="E107" s="336"/>
      <c r="F107" s="336"/>
      <c r="G107" s="336"/>
      <c r="H107" s="336"/>
      <c r="I107" s="336"/>
      <c r="J107" s="336"/>
      <c r="K107" s="333"/>
      <c r="L107" s="333"/>
      <c r="M107" s="336"/>
      <c r="N107" s="333"/>
      <c r="O107" s="333"/>
      <c r="P107" s="368"/>
      <c r="Q107" s="325"/>
    </row>
    <row r="108" spans="1:17" ht="32.25" hidden="1" customHeight="1" thickTop="1" thickBot="1" x14ac:dyDescent="0.3">
      <c r="A108" s="360"/>
      <c r="B108" s="445" t="s">
        <v>311</v>
      </c>
      <c r="C108" s="446"/>
      <c r="D108" s="328" t="s">
        <v>7</v>
      </c>
      <c r="E108" s="329" t="s">
        <v>8</v>
      </c>
      <c r="F108" s="329" t="s">
        <v>9</v>
      </c>
      <c r="G108" s="328" t="s">
        <v>10</v>
      </c>
      <c r="H108" s="328" t="s">
        <v>11</v>
      </c>
      <c r="I108" s="330" t="s">
        <v>12</v>
      </c>
      <c r="J108" s="331" t="s">
        <v>13</v>
      </c>
      <c r="K108" s="330" t="s">
        <v>14</v>
      </c>
      <c r="L108" s="330" t="s">
        <v>15</v>
      </c>
      <c r="M108" s="332" t="s">
        <v>16</v>
      </c>
      <c r="N108" s="330" t="s">
        <v>17</v>
      </c>
      <c r="O108" s="330" t="s">
        <v>18</v>
      </c>
      <c r="P108" s="327" t="s">
        <v>20</v>
      </c>
      <c r="Q108" s="322" t="s">
        <v>22</v>
      </c>
    </row>
    <row r="109" spans="1:17" ht="24.75" hidden="1" thickBot="1" x14ac:dyDescent="0.3">
      <c r="A109" s="357"/>
      <c r="B109" s="168" t="s">
        <v>312</v>
      </c>
      <c r="C109" s="85">
        <v>3122</v>
      </c>
      <c r="D109" s="336"/>
      <c r="E109" s="336"/>
      <c r="F109" s="336"/>
      <c r="G109" s="336"/>
      <c r="H109" s="336"/>
      <c r="I109" s="336"/>
      <c r="J109" s="336"/>
      <c r="K109" s="333"/>
      <c r="L109" s="333"/>
      <c r="M109" s="336"/>
      <c r="N109" s="333"/>
      <c r="O109" s="333"/>
      <c r="P109" s="368"/>
      <c r="Q109" s="325"/>
    </row>
    <row r="110" spans="1:17" ht="24.75" hidden="1" thickBot="1" x14ac:dyDescent="0.3">
      <c r="A110" s="357"/>
      <c r="B110" s="179" t="s">
        <v>358</v>
      </c>
      <c r="C110" s="85">
        <v>3142</v>
      </c>
      <c r="D110" s="336"/>
      <c r="E110" s="336"/>
      <c r="F110" s="336"/>
      <c r="G110" s="336"/>
      <c r="H110" s="336"/>
      <c r="I110" s="336"/>
      <c r="J110" s="336"/>
      <c r="K110" s="333"/>
      <c r="L110" s="333"/>
      <c r="M110" s="336"/>
      <c r="N110" s="333"/>
      <c r="O110" s="333"/>
      <c r="P110" s="368"/>
      <c r="Q110" s="325"/>
    </row>
    <row r="111" spans="1:17" ht="24.75" hidden="1" thickBot="1" x14ac:dyDescent="0.3">
      <c r="A111" s="357"/>
      <c r="B111" s="119" t="s">
        <v>313</v>
      </c>
      <c r="C111" s="244">
        <v>3142</v>
      </c>
      <c r="D111" s="339"/>
      <c r="E111" s="339"/>
      <c r="F111" s="339"/>
      <c r="G111" s="339"/>
      <c r="H111" s="339">
        <f>725000-725000</f>
        <v>0</v>
      </c>
      <c r="I111" s="339">
        <f>500000-500000</f>
        <v>0</v>
      </c>
      <c r="J111" s="339"/>
      <c r="K111" s="339"/>
      <c r="L111" s="339"/>
      <c r="M111" s="339"/>
      <c r="N111" s="339"/>
      <c r="O111" s="340"/>
      <c r="P111" s="368"/>
      <c r="Q111" s="325"/>
    </row>
    <row r="112" spans="1:17" ht="24.75" hidden="1" thickBot="1" x14ac:dyDescent="0.3">
      <c r="A112" s="357"/>
      <c r="B112" s="168" t="s">
        <v>314</v>
      </c>
      <c r="C112" s="85">
        <v>3142</v>
      </c>
      <c r="D112" s="337"/>
      <c r="E112" s="337"/>
      <c r="F112" s="337"/>
      <c r="G112" s="337"/>
      <c r="H112" s="337"/>
      <c r="I112" s="337"/>
      <c r="J112" s="337"/>
      <c r="K112" s="338"/>
      <c r="L112" s="338"/>
      <c r="M112" s="336"/>
      <c r="N112" s="338"/>
      <c r="O112" s="338"/>
      <c r="P112" s="368"/>
      <c r="Q112" s="325"/>
    </row>
    <row r="113" spans="1:17" ht="15.75" hidden="1" thickBot="1" x14ac:dyDescent="0.3">
      <c r="A113" s="357"/>
      <c r="B113" s="141" t="s">
        <v>192</v>
      </c>
      <c r="C113" s="137"/>
      <c r="D113" s="372">
        <f t="shared" ref="D113:Q113" si="3">SUM(D109)</f>
        <v>0</v>
      </c>
      <c r="E113" s="372">
        <f t="shared" si="3"/>
        <v>0</v>
      </c>
      <c r="F113" s="372">
        <f t="shared" si="3"/>
        <v>0</v>
      </c>
      <c r="G113" s="372">
        <f t="shared" si="3"/>
        <v>0</v>
      </c>
      <c r="H113" s="372">
        <f t="shared" si="3"/>
        <v>0</v>
      </c>
      <c r="I113" s="372">
        <f t="shared" si="3"/>
        <v>0</v>
      </c>
      <c r="J113" s="372">
        <f t="shared" si="3"/>
        <v>0</v>
      </c>
      <c r="K113" s="373">
        <f t="shared" si="3"/>
        <v>0</v>
      </c>
      <c r="L113" s="373">
        <f t="shared" si="3"/>
        <v>0</v>
      </c>
      <c r="M113" s="372">
        <f t="shared" si="3"/>
        <v>0</v>
      </c>
      <c r="N113" s="373">
        <f t="shared" si="3"/>
        <v>0</v>
      </c>
      <c r="O113" s="373">
        <f t="shared" si="3"/>
        <v>0</v>
      </c>
      <c r="P113" s="382">
        <f t="shared" si="3"/>
        <v>0</v>
      </c>
      <c r="Q113" s="169">
        <f t="shared" si="3"/>
        <v>0</v>
      </c>
    </row>
    <row r="114" spans="1:17" ht="15.75" hidden="1" thickBot="1" x14ac:dyDescent="0.3">
      <c r="A114" s="357"/>
      <c r="B114" s="141" t="s">
        <v>291</v>
      </c>
      <c r="C114" s="238"/>
      <c r="D114" s="372">
        <f t="shared" ref="D114:Q114" si="4">SUM(D110:D112)</f>
        <v>0</v>
      </c>
      <c r="E114" s="372">
        <f t="shared" si="4"/>
        <v>0</v>
      </c>
      <c r="F114" s="372">
        <f t="shared" si="4"/>
        <v>0</v>
      </c>
      <c r="G114" s="372">
        <f t="shared" si="4"/>
        <v>0</v>
      </c>
      <c r="H114" s="372">
        <f t="shared" si="4"/>
        <v>0</v>
      </c>
      <c r="I114" s="372">
        <f t="shared" si="4"/>
        <v>0</v>
      </c>
      <c r="J114" s="372">
        <f t="shared" si="4"/>
        <v>0</v>
      </c>
      <c r="K114" s="373">
        <f t="shared" si="4"/>
        <v>0</v>
      </c>
      <c r="L114" s="373">
        <f t="shared" si="4"/>
        <v>0</v>
      </c>
      <c r="M114" s="372">
        <f t="shared" si="4"/>
        <v>0</v>
      </c>
      <c r="N114" s="373">
        <f t="shared" si="4"/>
        <v>0</v>
      </c>
      <c r="O114" s="373">
        <f t="shared" si="4"/>
        <v>0</v>
      </c>
      <c r="P114" s="382">
        <f t="shared" si="4"/>
        <v>0</v>
      </c>
      <c r="Q114" s="169">
        <f t="shared" si="4"/>
        <v>0</v>
      </c>
    </row>
    <row r="115" spans="1:17" ht="15.75" hidden="1" thickBot="1" x14ac:dyDescent="0.3">
      <c r="A115" s="356"/>
      <c r="B115" s="79" t="s">
        <v>405</v>
      </c>
      <c r="C115" s="238"/>
      <c r="D115" s="334">
        <f t="shared" ref="D115:Q115" si="5">SUM(D113:D114)</f>
        <v>0</v>
      </c>
      <c r="E115" s="334">
        <f t="shared" si="5"/>
        <v>0</v>
      </c>
      <c r="F115" s="334">
        <f t="shared" si="5"/>
        <v>0</v>
      </c>
      <c r="G115" s="334">
        <f t="shared" si="5"/>
        <v>0</v>
      </c>
      <c r="H115" s="334">
        <f t="shared" si="5"/>
        <v>0</v>
      </c>
      <c r="I115" s="334">
        <f t="shared" si="5"/>
        <v>0</v>
      </c>
      <c r="J115" s="334">
        <f t="shared" si="5"/>
        <v>0</v>
      </c>
      <c r="K115" s="335">
        <f t="shared" si="5"/>
        <v>0</v>
      </c>
      <c r="L115" s="335">
        <f t="shared" si="5"/>
        <v>0</v>
      </c>
      <c r="M115" s="334">
        <f t="shared" si="5"/>
        <v>0</v>
      </c>
      <c r="N115" s="335">
        <f t="shared" si="5"/>
        <v>0</v>
      </c>
      <c r="O115" s="335">
        <f t="shared" si="5"/>
        <v>0</v>
      </c>
      <c r="P115" s="383">
        <f t="shared" si="5"/>
        <v>0</v>
      </c>
      <c r="Q115" s="320">
        <f t="shared" si="5"/>
        <v>0</v>
      </c>
    </row>
    <row r="116" spans="1:17" ht="24" hidden="1" thickTop="1" thickBot="1" x14ac:dyDescent="0.3">
      <c r="A116" s="360"/>
      <c r="B116" s="445" t="s">
        <v>378</v>
      </c>
      <c r="C116" s="446"/>
      <c r="D116" s="328" t="s">
        <v>7</v>
      </c>
      <c r="E116" s="329" t="s">
        <v>8</v>
      </c>
      <c r="F116" s="329" t="s">
        <v>9</v>
      </c>
      <c r="G116" s="328" t="s">
        <v>10</v>
      </c>
      <c r="H116" s="328" t="s">
        <v>11</v>
      </c>
      <c r="I116" s="330" t="s">
        <v>12</v>
      </c>
      <c r="J116" s="331" t="s">
        <v>13</v>
      </c>
      <c r="K116" s="330" t="s">
        <v>14</v>
      </c>
      <c r="L116" s="330" t="s">
        <v>15</v>
      </c>
      <c r="M116" s="332" t="s">
        <v>16</v>
      </c>
      <c r="N116" s="330" t="s">
        <v>17</v>
      </c>
      <c r="O116" s="330" t="s">
        <v>18</v>
      </c>
      <c r="P116" s="327" t="s">
        <v>425</v>
      </c>
      <c r="Q116" s="322" t="s">
        <v>22</v>
      </c>
    </row>
    <row r="117" spans="1:17" ht="34.5" hidden="1" thickBot="1" x14ac:dyDescent="0.3">
      <c r="A117" s="357"/>
      <c r="B117" s="86" t="s">
        <v>379</v>
      </c>
      <c r="C117" s="85">
        <v>3143</v>
      </c>
      <c r="D117" s="339"/>
      <c r="E117" s="339"/>
      <c r="F117" s="339"/>
      <c r="G117" s="339"/>
      <c r="H117" s="339"/>
      <c r="I117" s="339"/>
      <c r="J117" s="339"/>
      <c r="K117" s="340"/>
      <c r="L117" s="340"/>
      <c r="M117" s="339"/>
      <c r="N117" s="340"/>
      <c r="O117" s="340"/>
      <c r="P117" s="368"/>
      <c r="Q117" s="325"/>
    </row>
    <row r="118" spans="1:17" ht="39" hidden="1" thickBot="1" x14ac:dyDescent="0.3">
      <c r="A118" s="356"/>
      <c r="B118" s="213" t="s">
        <v>410</v>
      </c>
      <c r="C118" s="85">
        <v>3143</v>
      </c>
      <c r="D118" s="339"/>
      <c r="E118" s="339"/>
      <c r="F118" s="339"/>
      <c r="G118" s="339"/>
      <c r="H118" s="339"/>
      <c r="I118" s="339"/>
      <c r="J118" s="339"/>
      <c r="K118" s="340"/>
      <c r="L118" s="340"/>
      <c r="M118" s="339"/>
      <c r="N118" s="340"/>
      <c r="O118" s="340"/>
      <c r="P118" s="384"/>
      <c r="Q118" s="326"/>
    </row>
    <row r="119" spans="1:17" ht="39" hidden="1" thickBot="1" x14ac:dyDescent="0.3">
      <c r="A119" s="356"/>
      <c r="B119" s="213" t="s">
        <v>411</v>
      </c>
      <c r="C119" s="85">
        <v>3143</v>
      </c>
      <c r="D119" s="339"/>
      <c r="E119" s="339"/>
      <c r="F119" s="339"/>
      <c r="G119" s="339"/>
      <c r="H119" s="339"/>
      <c r="I119" s="339"/>
      <c r="J119" s="339"/>
      <c r="K119" s="340"/>
      <c r="L119" s="340"/>
      <c r="M119" s="339"/>
      <c r="N119" s="340"/>
      <c r="O119" s="340"/>
      <c r="P119" s="368"/>
      <c r="Q119" s="325"/>
    </row>
    <row r="120" spans="1:17" ht="15.75" hidden="1" thickBot="1" x14ac:dyDescent="0.3">
      <c r="A120" s="356"/>
      <c r="B120" s="79" t="s">
        <v>377</v>
      </c>
      <c r="C120" s="137"/>
      <c r="D120" s="334">
        <f t="shared" ref="D120:Q120" si="6">SUM(D117:D119)</f>
        <v>0</v>
      </c>
      <c r="E120" s="334">
        <f t="shared" si="6"/>
        <v>0</v>
      </c>
      <c r="F120" s="334">
        <f t="shared" si="6"/>
        <v>0</v>
      </c>
      <c r="G120" s="334">
        <f t="shared" si="6"/>
        <v>0</v>
      </c>
      <c r="H120" s="334">
        <f t="shared" si="6"/>
        <v>0</v>
      </c>
      <c r="I120" s="334">
        <f t="shared" si="6"/>
        <v>0</v>
      </c>
      <c r="J120" s="334">
        <f t="shared" si="6"/>
        <v>0</v>
      </c>
      <c r="K120" s="335">
        <f t="shared" si="6"/>
        <v>0</v>
      </c>
      <c r="L120" s="335">
        <f t="shared" si="6"/>
        <v>0</v>
      </c>
      <c r="M120" s="334">
        <f t="shared" si="6"/>
        <v>0</v>
      </c>
      <c r="N120" s="335">
        <f t="shared" si="6"/>
        <v>0</v>
      </c>
      <c r="O120" s="335">
        <f t="shared" si="6"/>
        <v>0</v>
      </c>
      <c r="P120" s="383">
        <f t="shared" si="6"/>
        <v>0</v>
      </c>
      <c r="Q120" s="320">
        <f t="shared" si="6"/>
        <v>0</v>
      </c>
    </row>
    <row r="121" spans="1:17" ht="22.5" hidden="1" x14ac:dyDescent="0.25">
      <c r="A121" s="358"/>
      <c r="B121" s="348" t="s">
        <v>469</v>
      </c>
      <c r="C121" s="353">
        <v>3132</v>
      </c>
      <c r="D121" s="374"/>
      <c r="E121" s="374"/>
      <c r="F121" s="374"/>
      <c r="G121" s="374"/>
      <c r="H121" s="374"/>
      <c r="I121" s="374"/>
      <c r="J121" s="374"/>
      <c r="K121" s="375"/>
      <c r="L121" s="375"/>
      <c r="M121" s="349"/>
      <c r="N121" s="375"/>
      <c r="O121" s="375"/>
      <c r="P121" s="368"/>
      <c r="Q121" s="323"/>
    </row>
    <row r="122" spans="1:17" ht="22.5" hidden="1" x14ac:dyDescent="0.25">
      <c r="A122" s="347"/>
      <c r="B122" s="348" t="s">
        <v>470</v>
      </c>
      <c r="C122" s="353">
        <v>3132</v>
      </c>
      <c r="D122" s="350"/>
      <c r="E122" s="350"/>
      <c r="F122" s="350"/>
      <c r="G122" s="350"/>
      <c r="H122" s="350"/>
      <c r="I122" s="350"/>
      <c r="J122" s="350"/>
      <c r="K122" s="351"/>
      <c r="L122" s="352"/>
      <c r="M122" s="352"/>
      <c r="N122" s="352"/>
      <c r="O122" s="350"/>
      <c r="P122" s="376"/>
      <c r="Q122" s="341"/>
    </row>
    <row r="123" spans="1:17" ht="22.5" hidden="1" x14ac:dyDescent="0.25">
      <c r="A123" s="347"/>
      <c r="B123" s="348" t="s">
        <v>471</v>
      </c>
      <c r="C123" s="353">
        <v>3132</v>
      </c>
      <c r="D123" s="350"/>
      <c r="E123" s="350"/>
      <c r="F123" s="350"/>
      <c r="G123" s="350"/>
      <c r="H123" s="350"/>
      <c r="I123" s="350"/>
      <c r="J123" s="350"/>
      <c r="K123" s="351"/>
      <c r="L123" s="352"/>
      <c r="M123" s="352"/>
      <c r="N123" s="352"/>
      <c r="O123" s="350"/>
      <c r="P123" s="376"/>
      <c r="Q123" s="341"/>
    </row>
    <row r="124" spans="1:17" ht="22.5" hidden="1" x14ac:dyDescent="0.25">
      <c r="A124" s="347"/>
      <c r="B124" s="348" t="s">
        <v>472</v>
      </c>
      <c r="C124" s="353">
        <v>3132</v>
      </c>
      <c r="D124" s="350"/>
      <c r="E124" s="350"/>
      <c r="F124" s="350"/>
      <c r="G124" s="350"/>
      <c r="H124" s="350"/>
      <c r="I124" s="350"/>
      <c r="J124" s="350"/>
      <c r="K124" s="351"/>
      <c r="L124" s="352"/>
      <c r="M124" s="352"/>
      <c r="N124" s="352"/>
      <c r="O124" s="350"/>
      <c r="P124" s="376"/>
      <c r="Q124" s="341"/>
    </row>
    <row r="125" spans="1:17" ht="22.5" hidden="1" x14ac:dyDescent="0.25">
      <c r="A125" s="347"/>
      <c r="B125" s="348" t="s">
        <v>473</v>
      </c>
      <c r="C125" s="353">
        <v>3132</v>
      </c>
      <c r="D125" s="350"/>
      <c r="E125" s="350"/>
      <c r="F125" s="350"/>
      <c r="G125" s="350"/>
      <c r="H125" s="350"/>
      <c r="I125" s="350"/>
      <c r="J125" s="350"/>
      <c r="K125" s="351"/>
      <c r="L125" s="352"/>
      <c r="M125" s="352"/>
      <c r="N125" s="352"/>
      <c r="O125" s="350"/>
      <c r="P125" s="376"/>
      <c r="Q125" s="341"/>
    </row>
    <row r="126" spans="1:17" ht="22.5" hidden="1" x14ac:dyDescent="0.25">
      <c r="A126" s="347"/>
      <c r="B126" s="348" t="s">
        <v>474</v>
      </c>
      <c r="C126" s="353">
        <v>3132</v>
      </c>
      <c r="D126" s="350"/>
      <c r="E126" s="350"/>
      <c r="F126" s="350"/>
      <c r="G126" s="350"/>
      <c r="H126" s="350"/>
      <c r="I126" s="350"/>
      <c r="J126" s="350"/>
      <c r="K126" s="351"/>
      <c r="L126" s="352"/>
      <c r="M126" s="352"/>
      <c r="N126" s="352"/>
      <c r="O126" s="350"/>
      <c r="P126" s="376"/>
      <c r="Q126" s="341"/>
    </row>
    <row r="127" spans="1:17" ht="22.5" hidden="1" x14ac:dyDescent="0.25">
      <c r="A127" s="347"/>
      <c r="B127" s="348" t="s">
        <v>475</v>
      </c>
      <c r="C127" s="353">
        <v>3132</v>
      </c>
      <c r="D127" s="350"/>
      <c r="E127" s="350"/>
      <c r="F127" s="350"/>
      <c r="G127" s="350"/>
      <c r="H127" s="350"/>
      <c r="I127" s="350"/>
      <c r="J127" s="350"/>
      <c r="K127" s="351"/>
      <c r="L127" s="352"/>
      <c r="M127" s="352"/>
      <c r="N127" s="352"/>
      <c r="O127" s="350"/>
      <c r="P127" s="376"/>
      <c r="Q127" s="341"/>
    </row>
    <row r="128" spans="1:17" ht="22.5" hidden="1" x14ac:dyDescent="0.25">
      <c r="A128" s="347"/>
      <c r="B128" s="348" t="s">
        <v>476</v>
      </c>
      <c r="C128" s="353">
        <v>3132</v>
      </c>
      <c r="D128" s="350"/>
      <c r="E128" s="350"/>
      <c r="F128" s="350"/>
      <c r="G128" s="350"/>
      <c r="H128" s="350"/>
      <c r="I128" s="350"/>
      <c r="J128" s="350"/>
      <c r="K128" s="351"/>
      <c r="L128" s="352"/>
      <c r="M128" s="352"/>
      <c r="N128" s="352"/>
      <c r="O128" s="350"/>
      <c r="P128" s="376"/>
      <c r="Q128" s="341"/>
    </row>
    <row r="129" spans="4:17" x14ac:dyDescent="0.25">
      <c r="D129" s="378"/>
      <c r="E129" s="378"/>
      <c r="F129" s="378"/>
      <c r="G129" s="378"/>
      <c r="H129" s="378"/>
      <c r="I129" s="378"/>
      <c r="J129" s="378"/>
      <c r="K129" s="379"/>
      <c r="L129" s="379"/>
      <c r="M129" s="378"/>
      <c r="N129" s="379"/>
      <c r="O129" s="379"/>
      <c r="P129" s="380"/>
      <c r="Q129" s="324"/>
    </row>
    <row r="130" spans="4:17" x14ac:dyDescent="0.25">
      <c r="D130" s="378"/>
      <c r="E130" s="378"/>
      <c r="F130" s="378"/>
      <c r="G130" s="378"/>
      <c r="H130" s="378"/>
      <c r="I130" s="378"/>
      <c r="J130" s="378"/>
      <c r="K130" s="379"/>
      <c r="L130" s="379"/>
      <c r="M130" s="378"/>
      <c r="N130" s="379"/>
      <c r="O130" s="379"/>
      <c r="P130" s="380"/>
      <c r="Q130" s="324"/>
    </row>
    <row r="131" spans="4:17" x14ac:dyDescent="0.25">
      <c r="D131" s="378"/>
      <c r="E131" s="378"/>
      <c r="F131" s="378"/>
      <c r="G131" s="378"/>
      <c r="H131" s="378"/>
      <c r="I131" s="378"/>
      <c r="J131" s="378"/>
      <c r="K131" s="379"/>
      <c r="L131" s="379"/>
      <c r="M131" s="378"/>
      <c r="N131" s="379"/>
      <c r="O131" s="379"/>
      <c r="P131" s="380"/>
      <c r="Q131" s="324"/>
    </row>
    <row r="132" spans="4:17" x14ac:dyDescent="0.25">
      <c r="D132" s="378"/>
      <c r="E132" s="378"/>
      <c r="F132" s="378"/>
      <c r="G132" s="378"/>
      <c r="H132" s="378"/>
      <c r="I132" s="378"/>
      <c r="J132" s="378"/>
      <c r="K132" s="379"/>
      <c r="L132" s="379"/>
      <c r="M132" s="378"/>
      <c r="N132" s="379"/>
      <c r="O132" s="379"/>
      <c r="P132" s="380"/>
      <c r="Q132" s="324"/>
    </row>
    <row r="133" spans="4:17" x14ac:dyDescent="0.25">
      <c r="D133" s="378"/>
      <c r="E133" s="378"/>
      <c r="F133" s="378"/>
      <c r="G133" s="378"/>
      <c r="H133" s="378"/>
      <c r="I133" s="378"/>
      <c r="J133" s="378"/>
      <c r="K133" s="379"/>
      <c r="L133" s="379"/>
      <c r="M133" s="378"/>
      <c r="N133" s="379"/>
      <c r="O133" s="379"/>
      <c r="P133" s="380"/>
      <c r="Q133" s="324"/>
    </row>
    <row r="134" spans="4:17" x14ac:dyDescent="0.25">
      <c r="D134" s="378"/>
      <c r="E134" s="378"/>
      <c r="F134" s="378"/>
      <c r="G134" s="378"/>
      <c r="H134" s="378"/>
      <c r="I134" s="378"/>
      <c r="J134" s="378"/>
      <c r="K134" s="379"/>
      <c r="L134" s="379"/>
      <c r="M134" s="378"/>
      <c r="N134" s="379"/>
      <c r="O134" s="379"/>
      <c r="P134" s="380"/>
      <c r="Q134" s="324"/>
    </row>
    <row r="135" spans="4:17" x14ac:dyDescent="0.25">
      <c r="D135" s="378"/>
      <c r="E135" s="378"/>
      <c r="F135" s="378"/>
      <c r="G135" s="378"/>
      <c r="H135" s="378"/>
      <c r="I135" s="378"/>
      <c r="J135" s="378"/>
      <c r="K135" s="379"/>
      <c r="L135" s="379"/>
      <c r="M135" s="378"/>
      <c r="N135" s="379"/>
      <c r="O135" s="379"/>
      <c r="P135" s="380"/>
      <c r="Q135" s="324"/>
    </row>
    <row r="136" spans="4:17" x14ac:dyDescent="0.25">
      <c r="D136" s="378"/>
      <c r="E136" s="378"/>
      <c r="F136" s="378"/>
      <c r="G136" s="378"/>
      <c r="H136" s="378"/>
      <c r="I136" s="378"/>
      <c r="J136" s="378"/>
      <c r="K136" s="379"/>
      <c r="L136" s="379"/>
      <c r="M136" s="378"/>
      <c r="N136" s="379"/>
      <c r="O136" s="379"/>
      <c r="P136" s="380"/>
      <c r="Q136" s="324"/>
    </row>
    <row r="137" spans="4:17" x14ac:dyDescent="0.25">
      <c r="D137" s="378"/>
      <c r="E137" s="378"/>
      <c r="F137" s="378"/>
      <c r="G137" s="378"/>
      <c r="H137" s="378"/>
      <c r="I137" s="378"/>
      <c r="J137" s="378"/>
      <c r="K137" s="379"/>
      <c r="L137" s="379"/>
      <c r="M137" s="378"/>
      <c r="N137" s="379"/>
      <c r="O137" s="379"/>
      <c r="P137" s="380"/>
      <c r="Q137" s="324"/>
    </row>
    <row r="138" spans="4:17" x14ac:dyDescent="0.25">
      <c r="D138" s="378"/>
      <c r="E138" s="378"/>
      <c r="F138" s="378"/>
      <c r="G138" s="378"/>
      <c r="H138" s="378"/>
      <c r="I138" s="378"/>
      <c r="J138" s="378"/>
      <c r="K138" s="379"/>
      <c r="L138" s="379"/>
      <c r="M138" s="378"/>
      <c r="N138" s="379"/>
      <c r="O138" s="379"/>
      <c r="P138" s="380"/>
      <c r="Q138" s="324"/>
    </row>
    <row r="139" spans="4:17" x14ac:dyDescent="0.25">
      <c r="D139" s="378"/>
      <c r="E139" s="378"/>
      <c r="F139" s="378"/>
      <c r="G139" s="378"/>
      <c r="H139" s="378"/>
      <c r="I139" s="378"/>
      <c r="J139" s="378"/>
      <c r="K139" s="379"/>
      <c r="L139" s="379"/>
      <c r="M139" s="378"/>
      <c r="N139" s="379"/>
      <c r="O139" s="379"/>
      <c r="P139" s="380"/>
      <c r="Q139" s="324"/>
    </row>
    <row r="140" spans="4:17" x14ac:dyDescent="0.25">
      <c r="D140" s="378"/>
      <c r="E140" s="378"/>
      <c r="F140" s="378"/>
      <c r="G140" s="378"/>
      <c r="H140" s="378"/>
      <c r="I140" s="378"/>
      <c r="J140" s="378"/>
      <c r="K140" s="379"/>
      <c r="L140" s="379"/>
      <c r="M140" s="378"/>
      <c r="N140" s="379"/>
      <c r="O140" s="379"/>
      <c r="P140" s="380"/>
      <c r="Q140" s="324"/>
    </row>
    <row r="141" spans="4:17" x14ac:dyDescent="0.25">
      <c r="D141" s="378"/>
      <c r="E141" s="378"/>
      <c r="F141" s="378"/>
      <c r="G141" s="378"/>
      <c r="H141" s="378"/>
      <c r="I141" s="378"/>
      <c r="J141" s="378"/>
      <c r="K141" s="379"/>
      <c r="L141" s="379"/>
      <c r="M141" s="378"/>
      <c r="N141" s="379"/>
      <c r="O141" s="379"/>
      <c r="P141" s="380"/>
      <c r="Q141" s="324"/>
    </row>
  </sheetData>
  <mergeCells count="8">
    <mergeCell ref="B1:P1"/>
    <mergeCell ref="B2:P2"/>
    <mergeCell ref="B116:C116"/>
    <mergeCell ref="A104:P104"/>
    <mergeCell ref="A64:Q64"/>
    <mergeCell ref="A5:P6"/>
    <mergeCell ref="A9:Q9"/>
    <mergeCell ref="B108:C108"/>
  </mergeCells>
  <conditionalFormatting sqref="D65">
    <cfRule type="expression" dxfId="15" priority="16" stopIfTrue="1">
      <formula>B65=1</formula>
    </cfRule>
  </conditionalFormatting>
  <conditionalFormatting sqref="E65">
    <cfRule type="expression" dxfId="14" priority="15" stopIfTrue="1">
      <formula>B65=1</formula>
    </cfRule>
  </conditionalFormatting>
  <conditionalFormatting sqref="F65">
    <cfRule type="expression" dxfId="13" priority="14" stopIfTrue="1">
      <formula>B65=1</formula>
    </cfRule>
  </conditionalFormatting>
  <conditionalFormatting sqref="G65">
    <cfRule type="expression" dxfId="12" priority="13" stopIfTrue="1">
      <formula>B65=1</formula>
    </cfRule>
  </conditionalFormatting>
  <conditionalFormatting sqref="D65">
    <cfRule type="expression" dxfId="11" priority="12" stopIfTrue="1">
      <formula>B65=1</formula>
    </cfRule>
  </conditionalFormatting>
  <conditionalFormatting sqref="E65">
    <cfRule type="expression" dxfId="10" priority="11" stopIfTrue="1">
      <formula>B65=1</formula>
    </cfRule>
  </conditionalFormatting>
  <conditionalFormatting sqref="F65">
    <cfRule type="expression" dxfId="9" priority="10" stopIfTrue="1">
      <formula>B65=1</formula>
    </cfRule>
  </conditionalFormatting>
  <conditionalFormatting sqref="G65">
    <cfRule type="expression" dxfId="8" priority="9" stopIfTrue="1">
      <formula>B65=1</formula>
    </cfRule>
  </conditionalFormatting>
  <conditionalFormatting sqref="D65">
    <cfRule type="expression" dxfId="7" priority="8" stopIfTrue="1">
      <formula>B65=1</formula>
    </cfRule>
  </conditionalFormatting>
  <conditionalFormatting sqref="E65">
    <cfRule type="expression" dxfId="6" priority="7" stopIfTrue="1">
      <formula>B65=1</formula>
    </cfRule>
  </conditionalFormatting>
  <conditionalFormatting sqref="F65">
    <cfRule type="expression" dxfId="5" priority="6" stopIfTrue="1">
      <formula>B65=1</formula>
    </cfRule>
  </conditionalFormatting>
  <conditionalFormatting sqref="G65">
    <cfRule type="expression" dxfId="4" priority="5" stopIfTrue="1">
      <formula>B65=1</formula>
    </cfRule>
  </conditionalFormatting>
  <conditionalFormatting sqref="D65">
    <cfRule type="expression" dxfId="3" priority="4" stopIfTrue="1">
      <formula>B65=1</formula>
    </cfRule>
  </conditionalFormatting>
  <conditionalFormatting sqref="E65">
    <cfRule type="expression" dxfId="2" priority="3" stopIfTrue="1">
      <formula>B65=1</formula>
    </cfRule>
  </conditionalFormatting>
  <conditionalFormatting sqref="F65">
    <cfRule type="expression" dxfId="1" priority="2" stopIfTrue="1">
      <formula>B65=1</formula>
    </cfRule>
  </conditionalFormatting>
  <conditionalFormatting sqref="G65">
    <cfRule type="expression" dxfId="0" priority="1" stopIfTrue="1">
      <formula>B65=1</formula>
    </cfRule>
  </conditionalFormatting>
  <pageMargins left="0.7" right="0.7" top="0.75" bottom="0.75" header="0.3" footer="0.3"/>
  <pageSetup paperSize="9" scale="85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9">
    <pageSetUpPr fitToPage="1"/>
  </sheetPr>
  <dimension ref="A1:AF301"/>
  <sheetViews>
    <sheetView topLeftCell="C1" zoomScaleNormal="100" workbookViewId="0">
      <selection activeCell="F21" sqref="F21"/>
    </sheetView>
  </sheetViews>
  <sheetFormatPr defaultColWidth="9.140625" defaultRowHeight="15" x14ac:dyDescent="0.25"/>
  <cols>
    <col min="1" max="1" width="7.28515625" customWidth="1"/>
    <col min="2" max="2" width="10.5703125" customWidth="1"/>
    <col min="3" max="3" width="12.28515625" customWidth="1"/>
    <col min="6" max="6" width="26.85546875" customWidth="1"/>
    <col min="8" max="8" width="16" customWidth="1"/>
    <col min="9" max="19" width="12.5703125" hidden="1" customWidth="1"/>
    <col min="20" max="20" width="13.140625" style="104" hidden="1" customWidth="1"/>
    <col min="21" max="21" width="14.28515625" customWidth="1"/>
    <col min="22" max="22" width="15.7109375" customWidth="1"/>
    <col min="23" max="23" width="16" customWidth="1"/>
    <col min="24" max="24" width="13.42578125" customWidth="1"/>
    <col min="25" max="30" width="15.7109375" customWidth="1"/>
    <col min="31" max="31" width="15" customWidth="1"/>
    <col min="32" max="32" width="15.42578125" customWidth="1"/>
  </cols>
  <sheetData>
    <row r="1" spans="1:32" ht="6.75" customHeight="1" x14ac:dyDescent="0.25">
      <c r="A1" s="1"/>
      <c r="B1" s="1"/>
      <c r="C1" s="1"/>
      <c r="D1" s="2"/>
      <c r="E1" s="485" t="s">
        <v>62</v>
      </c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52"/>
      <c r="Z1" s="52"/>
      <c r="AA1" s="52"/>
      <c r="AB1" s="52"/>
      <c r="AC1" s="52"/>
      <c r="AD1" s="52"/>
    </row>
    <row r="2" spans="1:32" ht="11.25" customHeight="1" thickBot="1" x14ac:dyDescent="0.3">
      <c r="A2" s="1"/>
      <c r="B2" s="1"/>
      <c r="C2" s="1"/>
      <c r="D2" s="2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7" t="s">
        <v>427</v>
      </c>
      <c r="Z2" s="487"/>
      <c r="AA2" s="487"/>
      <c r="AB2" s="254"/>
      <c r="AC2" s="254"/>
      <c r="AD2" s="254"/>
    </row>
    <row r="3" spans="1:32" ht="35.25" thickTop="1" thickBot="1" x14ac:dyDescent="0.3">
      <c r="A3" s="3" t="s">
        <v>0</v>
      </c>
      <c r="B3" s="3" t="s">
        <v>1</v>
      </c>
      <c r="C3" s="3" t="s">
        <v>2</v>
      </c>
      <c r="D3" s="4" t="s">
        <v>3</v>
      </c>
      <c r="E3" s="4" t="s">
        <v>4</v>
      </c>
      <c r="F3" s="5" t="s">
        <v>5</v>
      </c>
      <c r="G3" s="6" t="s">
        <v>6</v>
      </c>
      <c r="H3" s="7" t="s">
        <v>155</v>
      </c>
      <c r="I3" s="8" t="s">
        <v>7</v>
      </c>
      <c r="J3" s="9" t="s">
        <v>8</v>
      </c>
      <c r="K3" s="9" t="s">
        <v>9</v>
      </c>
      <c r="L3" s="8" t="s">
        <v>10</v>
      </c>
      <c r="M3" s="8" t="s">
        <v>11</v>
      </c>
      <c r="N3" s="10" t="s">
        <v>12</v>
      </c>
      <c r="O3" s="11" t="s">
        <v>13</v>
      </c>
      <c r="P3" s="12" t="s">
        <v>14</v>
      </c>
      <c r="Q3" s="12" t="s">
        <v>15</v>
      </c>
      <c r="R3" s="13" t="s">
        <v>16</v>
      </c>
      <c r="S3" s="8" t="s">
        <v>17</v>
      </c>
      <c r="T3" s="221" t="s">
        <v>18</v>
      </c>
      <c r="U3" s="7" t="s">
        <v>426</v>
      </c>
      <c r="V3" s="7" t="s">
        <v>19</v>
      </c>
      <c r="W3" s="7" t="s">
        <v>20</v>
      </c>
      <c r="X3" s="7" t="s">
        <v>21</v>
      </c>
      <c r="Y3" s="5" t="s">
        <v>22</v>
      </c>
      <c r="Z3" s="14" t="s">
        <v>23</v>
      </c>
      <c r="AA3" s="14" t="s">
        <v>24</v>
      </c>
      <c r="AB3" s="255"/>
      <c r="AC3" s="255"/>
      <c r="AD3" s="255"/>
    </row>
    <row r="4" spans="1:32" ht="12.75" customHeight="1" thickTop="1" thickBot="1" x14ac:dyDescent="0.3">
      <c r="A4" s="1"/>
      <c r="B4" s="1"/>
      <c r="C4" s="1"/>
      <c r="D4" s="2"/>
      <c r="E4" s="15"/>
      <c r="F4" s="16">
        <v>1</v>
      </c>
      <c r="G4" s="17">
        <v>2</v>
      </c>
      <c r="H4" s="18">
        <v>3</v>
      </c>
      <c r="I4" s="19"/>
      <c r="J4" s="20"/>
      <c r="K4" s="21"/>
      <c r="L4" s="22"/>
      <c r="M4" s="22"/>
      <c r="N4" s="23"/>
      <c r="O4" s="24"/>
      <c r="P4" s="25"/>
      <c r="Q4" s="25"/>
      <c r="R4" s="26"/>
      <c r="S4" s="22"/>
      <c r="T4" s="222"/>
      <c r="U4" s="22">
        <v>4</v>
      </c>
      <c r="V4" s="27">
        <v>5</v>
      </c>
      <c r="W4" s="28">
        <v>6</v>
      </c>
      <c r="X4" s="29">
        <v>7</v>
      </c>
      <c r="Y4" s="30">
        <v>8</v>
      </c>
      <c r="Z4" s="31">
        <v>9</v>
      </c>
      <c r="AA4" s="32">
        <v>10</v>
      </c>
      <c r="AB4" s="256"/>
      <c r="AC4" s="256"/>
      <c r="AD4" s="256"/>
    </row>
    <row r="5" spans="1:32" ht="16.5" thickTop="1" thickBot="1" x14ac:dyDescent="0.3">
      <c r="A5" s="33"/>
      <c r="B5" s="33"/>
      <c r="C5" s="33"/>
      <c r="D5" s="34"/>
      <c r="E5" s="488" t="s">
        <v>25</v>
      </c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489"/>
      <c r="R5" s="489"/>
      <c r="S5" s="489"/>
      <c r="T5" s="489"/>
      <c r="U5" s="489"/>
      <c r="V5" s="489"/>
      <c r="W5" s="489"/>
      <c r="X5" s="489"/>
      <c r="Y5" s="489"/>
      <c r="Z5" s="489"/>
      <c r="AA5" s="490"/>
      <c r="AB5" s="257"/>
      <c r="AC5" s="257"/>
      <c r="AD5" s="257"/>
    </row>
    <row r="6" spans="1:32" s="43" customFormat="1" ht="29.25" customHeight="1" thickBot="1" x14ac:dyDescent="0.3">
      <c r="A6" s="35" t="s">
        <v>208</v>
      </c>
      <c r="B6" s="35" t="s">
        <v>209</v>
      </c>
      <c r="C6" s="35" t="s">
        <v>204</v>
      </c>
      <c r="D6" s="36" t="s">
        <v>205</v>
      </c>
      <c r="E6" s="44">
        <v>1</v>
      </c>
      <c r="F6" s="45" t="s">
        <v>27</v>
      </c>
      <c r="G6" s="44">
        <v>2240</v>
      </c>
      <c r="H6" s="37">
        <f>SUM(I6:T6)</f>
        <v>573549</v>
      </c>
      <c r="I6" s="205">
        <v>50000</v>
      </c>
      <c r="J6" s="318">
        <f>25000-7630+187624-167624-16555</f>
        <v>20815</v>
      </c>
      <c r="K6" s="205"/>
      <c r="L6" s="205"/>
      <c r="M6" s="205"/>
      <c r="N6" s="205"/>
      <c r="O6" s="290">
        <f>57630-40000-5621</f>
        <v>12009</v>
      </c>
      <c r="P6" s="205">
        <f>50000-40000</f>
        <v>10000</v>
      </c>
      <c r="Q6" s="205">
        <f>100000-40000+10000</f>
        <v>70000</v>
      </c>
      <c r="R6" s="318">
        <f>50000+104170+40000+16555</f>
        <v>210725</v>
      </c>
      <c r="S6" s="205">
        <v>50000</v>
      </c>
      <c r="T6" s="205">
        <f>50000+100000</f>
        <v>150000</v>
      </c>
      <c r="U6" s="39">
        <f>I6+J6+K6+L6+M6+N6+O6</f>
        <v>82824</v>
      </c>
      <c r="V6" s="40">
        <f>21356.7+17428.4+32400.98+7922</f>
        <v>79108.08</v>
      </c>
      <c r="W6" s="40">
        <f>21356.7+17428.4+32400.98+7922</f>
        <v>79108.08</v>
      </c>
      <c r="X6" s="41">
        <f t="shared" ref="X6:X20" si="0">W6-V6</f>
        <v>0</v>
      </c>
      <c r="Y6" s="143">
        <f>21356.7+17428.4+32400.98+7922</f>
        <v>79108.08</v>
      </c>
      <c r="Z6" s="41">
        <f>Y6-V6</f>
        <v>0</v>
      </c>
      <c r="AA6" s="42">
        <f>Y6-U6</f>
        <v>-3715.9199999999983</v>
      </c>
      <c r="AB6" s="258"/>
      <c r="AC6" s="258">
        <v>20270.919999999998</v>
      </c>
      <c r="AD6" s="258"/>
      <c r="AE6" s="103">
        <f>T6-Y6</f>
        <v>70891.92</v>
      </c>
    </row>
    <row r="7" spans="1:32" ht="60.75" thickBot="1" x14ac:dyDescent="0.3">
      <c r="A7" s="35" t="s">
        <v>391</v>
      </c>
      <c r="B7" s="35" t="s">
        <v>393</v>
      </c>
      <c r="C7" s="35" t="s">
        <v>394</v>
      </c>
      <c r="D7" s="36" t="s">
        <v>392</v>
      </c>
      <c r="E7" s="44">
        <v>2</v>
      </c>
      <c r="F7" s="45" t="s">
        <v>28</v>
      </c>
      <c r="G7" s="44">
        <v>2240</v>
      </c>
      <c r="H7" s="37">
        <f t="shared" ref="H7:H51" si="1">SUM(I7:T7)</f>
        <v>500000</v>
      </c>
      <c r="I7" s="205">
        <v>38000</v>
      </c>
      <c r="J7" s="205">
        <v>18000</v>
      </c>
      <c r="K7" s="205"/>
      <c r="L7" s="205"/>
      <c r="M7" s="205">
        <f>82000-54000</f>
        <v>28000</v>
      </c>
      <c r="N7" s="205">
        <f>43400-39150</f>
        <v>4250</v>
      </c>
      <c r="O7" s="205">
        <v>43400</v>
      </c>
      <c r="P7" s="205">
        <v>43400</v>
      </c>
      <c r="Q7" s="205">
        <v>43400</v>
      </c>
      <c r="R7" s="205">
        <f>43400+58000</f>
        <v>101400</v>
      </c>
      <c r="S7" s="205">
        <f>39150+42000</f>
        <v>81150</v>
      </c>
      <c r="T7" s="205">
        <f>45000+54000</f>
        <v>99000</v>
      </c>
      <c r="U7" s="39">
        <f t="shared" ref="U7:U45" si="2">I7+J7+K7+L7+M7+N7+O7</f>
        <v>131650</v>
      </c>
      <c r="V7" s="40">
        <f>26700+57040</f>
        <v>83740</v>
      </c>
      <c r="W7" s="40">
        <f>26700+57040</f>
        <v>83740</v>
      </c>
      <c r="X7" s="41">
        <f t="shared" si="0"/>
        <v>0</v>
      </c>
      <c r="Y7" s="40">
        <f>26700+28125+16235+12680</f>
        <v>83740</v>
      </c>
      <c r="Z7" s="41">
        <f t="shared" ref="Z7:Z20" si="3">Y7-V7</f>
        <v>0</v>
      </c>
      <c r="AA7" s="42">
        <f t="shared" ref="AA7:AA20" si="4">Y7-U7</f>
        <v>-47910</v>
      </c>
      <c r="AB7" s="258"/>
      <c r="AC7" s="258">
        <v>47910</v>
      </c>
      <c r="AD7" s="258"/>
      <c r="AE7" s="103">
        <f>H7-Y7</f>
        <v>416260</v>
      </c>
    </row>
    <row r="8" spans="1:32" ht="36.75" thickBot="1" x14ac:dyDescent="0.3">
      <c r="A8" s="35" t="s">
        <v>395</v>
      </c>
      <c r="B8" s="35" t="s">
        <v>396</v>
      </c>
      <c r="C8">
        <v>161560</v>
      </c>
      <c r="D8" t="s">
        <v>210</v>
      </c>
      <c r="E8" s="44">
        <v>3</v>
      </c>
      <c r="F8" s="315" t="s">
        <v>29</v>
      </c>
      <c r="G8" s="44">
        <v>2240</v>
      </c>
      <c r="H8" s="37">
        <f t="shared" si="1"/>
        <v>700000</v>
      </c>
      <c r="I8" s="205">
        <v>56000</v>
      </c>
      <c r="J8" s="205">
        <f>56000+40000+40000</f>
        <v>136000</v>
      </c>
      <c r="K8" s="205">
        <f>57000-40000+20952</f>
        <v>37952</v>
      </c>
      <c r="L8" s="205">
        <f>59000-40000+18952-1200</f>
        <v>36752</v>
      </c>
      <c r="M8" s="205">
        <f>59000-38704-14750</f>
        <v>5546</v>
      </c>
      <c r="N8" s="312">
        <f>47630</f>
        <v>47630</v>
      </c>
      <c r="O8" s="205">
        <f>59000-47630</f>
        <v>11370</v>
      </c>
      <c r="P8" s="205">
        <v>59000</v>
      </c>
      <c r="Q8" s="205">
        <v>59000</v>
      </c>
      <c r="R8" s="205">
        <f>59000+73750</f>
        <v>132750</v>
      </c>
      <c r="S8" s="205">
        <v>59000</v>
      </c>
      <c r="T8" s="205">
        <v>59000</v>
      </c>
      <c r="U8" s="39">
        <f t="shared" si="2"/>
        <v>331250</v>
      </c>
      <c r="V8" s="40">
        <f>53840.59+53768.59+53941.39+54474.19+54430.99</f>
        <v>270455.75</v>
      </c>
      <c r="W8" s="40">
        <f>53840.59+53768.59+53941.39+54474.19+54430.99</f>
        <v>270455.75</v>
      </c>
      <c r="X8" s="41">
        <f t="shared" si="0"/>
        <v>0</v>
      </c>
      <c r="Y8" s="40">
        <f>53840.59+53768.59+53941.39+54474.19+54430.99+54459.79</f>
        <v>324915.53999999998</v>
      </c>
      <c r="Z8" s="41">
        <f t="shared" si="3"/>
        <v>54459.789999999979</v>
      </c>
      <c r="AA8" s="42">
        <f t="shared" si="4"/>
        <v>-6334.460000000021</v>
      </c>
      <c r="AB8" s="258"/>
      <c r="AC8" s="258"/>
      <c r="AD8" s="258"/>
    </row>
    <row r="9" spans="1:32" ht="16.5" thickBot="1" x14ac:dyDescent="0.3">
      <c r="A9" s="35" t="s">
        <v>398</v>
      </c>
      <c r="B9" s="35" t="s">
        <v>397</v>
      </c>
      <c r="D9" t="s">
        <v>210</v>
      </c>
      <c r="E9" s="44">
        <v>4</v>
      </c>
      <c r="F9" s="315" t="s">
        <v>30</v>
      </c>
      <c r="G9" s="107">
        <v>2240</v>
      </c>
      <c r="H9" s="110">
        <f t="shared" si="1"/>
        <v>900000</v>
      </c>
      <c r="I9" s="205"/>
      <c r="J9" s="318">
        <f>16555</f>
        <v>16555</v>
      </c>
      <c r="K9" s="205"/>
      <c r="L9" s="205"/>
      <c r="M9" s="205">
        <f>100000+54000+34000+27750+14750</f>
        <v>230500</v>
      </c>
      <c r="N9" s="312">
        <f>110000</f>
        <v>110000</v>
      </c>
      <c r="O9" s="205">
        <f>5000</f>
        <v>5000</v>
      </c>
      <c r="P9" s="311"/>
      <c r="Q9" s="276"/>
      <c r="R9" s="319">
        <f>400000-34000-110000-16555</f>
        <v>239445</v>
      </c>
      <c r="S9" s="205">
        <f>52500</f>
        <v>52500</v>
      </c>
      <c r="T9" s="205">
        <f>400000-100000-54000</f>
        <v>246000</v>
      </c>
      <c r="U9" s="304">
        <f t="shared" si="2"/>
        <v>362055</v>
      </c>
      <c r="V9" s="220">
        <f>230383.2</f>
        <v>230383.2</v>
      </c>
      <c r="W9" s="220">
        <f>230383.2</f>
        <v>230383.2</v>
      </c>
      <c r="X9" s="305">
        <f t="shared" si="0"/>
        <v>0</v>
      </c>
      <c r="Y9" s="220">
        <f>230383.2+131671.43</f>
        <v>362054.63</v>
      </c>
      <c r="Z9" s="305">
        <f t="shared" si="3"/>
        <v>131671.43</v>
      </c>
      <c r="AA9" s="306">
        <f t="shared" si="4"/>
        <v>-0.36999999999534339</v>
      </c>
      <c r="AB9" s="309">
        <v>267535.90000000002</v>
      </c>
      <c r="AC9" s="258">
        <v>-267535.90000000002</v>
      </c>
      <c r="AD9" s="258"/>
      <c r="AE9" s="103">
        <v>256000</v>
      </c>
      <c r="AF9" s="103">
        <f>AE9+AC9</f>
        <v>-11535.900000000023</v>
      </c>
    </row>
    <row r="10" spans="1:32" ht="25.5" customHeight="1" thickBot="1" x14ac:dyDescent="0.3">
      <c r="A10" s="35" t="s">
        <v>416</v>
      </c>
      <c r="B10" s="102">
        <v>44729</v>
      </c>
      <c r="C10">
        <v>942370</v>
      </c>
      <c r="D10" t="s">
        <v>210</v>
      </c>
      <c r="E10" s="44">
        <v>5</v>
      </c>
      <c r="F10" s="315" t="s">
        <v>31</v>
      </c>
      <c r="G10" s="44">
        <v>2240</v>
      </c>
      <c r="H10" s="37">
        <f t="shared" si="1"/>
        <v>2000000</v>
      </c>
      <c r="I10" s="205"/>
      <c r="J10" s="205"/>
      <c r="K10" s="205"/>
      <c r="L10" s="205"/>
      <c r="M10" s="311"/>
      <c r="N10" s="314">
        <f>100000+400000+442370</f>
        <v>942370</v>
      </c>
      <c r="O10" s="205"/>
      <c r="P10" s="205"/>
      <c r="Q10" s="205"/>
      <c r="R10" s="205">
        <f>500000+57630</f>
        <v>557630</v>
      </c>
      <c r="S10" s="276">
        <f>500000+500000-500000</f>
        <v>500000</v>
      </c>
      <c r="T10" s="205"/>
      <c r="U10" s="39">
        <f t="shared" si="2"/>
        <v>942370</v>
      </c>
      <c r="V10" s="40"/>
      <c r="W10" s="40"/>
      <c r="X10" s="41">
        <f t="shared" si="0"/>
        <v>0</v>
      </c>
      <c r="Y10" s="40">
        <f>399997.2</f>
        <v>399997.2</v>
      </c>
      <c r="Z10" s="41">
        <f t="shared" si="3"/>
        <v>399997.2</v>
      </c>
      <c r="AA10" s="42">
        <f t="shared" si="4"/>
        <v>-542372.80000000005</v>
      </c>
      <c r="AB10" s="258">
        <v>267535.90000000002</v>
      </c>
      <c r="AC10" s="258">
        <v>1000000</v>
      </c>
      <c r="AD10" s="258"/>
      <c r="AE10">
        <f>Z10+Z9+Z8</f>
        <v>586128.41999999993</v>
      </c>
    </row>
    <row r="11" spans="1:32" ht="26.25" thickBot="1" x14ac:dyDescent="0.3">
      <c r="E11" s="44">
        <v>6</v>
      </c>
      <c r="F11" s="173" t="s">
        <v>32</v>
      </c>
      <c r="G11" s="44">
        <v>2240</v>
      </c>
      <c r="H11" s="37">
        <f t="shared" si="1"/>
        <v>250000</v>
      </c>
      <c r="I11" s="205">
        <f>40000</f>
        <v>40000</v>
      </c>
      <c r="J11" s="205">
        <f>7630</f>
        <v>7630</v>
      </c>
      <c r="K11" s="205"/>
      <c r="L11" s="205"/>
      <c r="M11" s="205"/>
      <c r="N11" s="205"/>
      <c r="O11" s="205"/>
      <c r="P11" s="205"/>
      <c r="Q11" s="205"/>
      <c r="R11" s="205">
        <f>61020</f>
        <v>61020</v>
      </c>
      <c r="S11" s="205">
        <f>81350+56000</f>
        <v>137350</v>
      </c>
      <c r="T11" s="205">
        <v>4000</v>
      </c>
      <c r="U11" s="39">
        <f t="shared" si="2"/>
        <v>47630</v>
      </c>
      <c r="V11" s="40">
        <f>47629.24</f>
        <v>47629.24</v>
      </c>
      <c r="W11" s="40">
        <f>47629.24</f>
        <v>47629.24</v>
      </c>
      <c r="X11" s="41">
        <f t="shared" si="0"/>
        <v>0</v>
      </c>
      <c r="Y11" s="40">
        <f>47629.24</f>
        <v>47629.24</v>
      </c>
      <c r="Z11" s="41">
        <f t="shared" si="3"/>
        <v>0</v>
      </c>
      <c r="AA11" s="42">
        <f t="shared" si="4"/>
        <v>-0.76000000000203727</v>
      </c>
      <c r="AB11" s="258"/>
      <c r="AC11" s="258">
        <f>N10+N9+N8</f>
        <v>1100000</v>
      </c>
      <c r="AD11" s="258"/>
      <c r="AE11" s="103">
        <f>AC10-AE10</f>
        <v>413871.58000000007</v>
      </c>
    </row>
    <row r="12" spans="1:32" ht="15" customHeight="1" thickBot="1" x14ac:dyDescent="0.3">
      <c r="A12" t="s">
        <v>420</v>
      </c>
      <c r="B12" s="102" t="s">
        <v>421</v>
      </c>
      <c r="C12">
        <v>84198.720000000001</v>
      </c>
      <c r="D12" t="s">
        <v>225</v>
      </c>
      <c r="E12" s="44">
        <v>7</v>
      </c>
      <c r="F12" s="175" t="s">
        <v>33</v>
      </c>
      <c r="G12" s="44">
        <v>2240</v>
      </c>
      <c r="H12" s="37">
        <f t="shared" si="1"/>
        <v>500000</v>
      </c>
      <c r="I12" s="205"/>
      <c r="J12" s="205">
        <f>41900+36824</f>
        <v>78724</v>
      </c>
      <c r="K12" s="205">
        <f>21196</f>
        <v>21196</v>
      </c>
      <c r="L12" s="205"/>
      <c r="M12" s="205">
        <f>84100-34000</f>
        <v>50100</v>
      </c>
      <c r="N12" s="205"/>
      <c r="O12" s="205">
        <v>42000</v>
      </c>
      <c r="P12" s="205">
        <v>42000</v>
      </c>
      <c r="Q12" s="205">
        <v>42000</v>
      </c>
      <c r="R12" s="205">
        <f>42000+34000</f>
        <v>76000</v>
      </c>
      <c r="S12" s="205">
        <f>41000-16020+82000</f>
        <v>106980</v>
      </c>
      <c r="T12" s="205">
        <v>41000</v>
      </c>
      <c r="U12" s="39">
        <f t="shared" si="2"/>
        <v>192020</v>
      </c>
      <c r="V12" s="40">
        <f>60456+39461.28+49903.68</f>
        <v>149820.96</v>
      </c>
      <c r="W12" s="40">
        <f>60456+39461.28+49903.68</f>
        <v>149820.96</v>
      </c>
      <c r="X12" s="41">
        <f t="shared" si="0"/>
        <v>0</v>
      </c>
      <c r="Y12" s="40">
        <f>60456+39461.28+49903.68</f>
        <v>149820.96</v>
      </c>
      <c r="Z12" s="41">
        <f t="shared" si="3"/>
        <v>0</v>
      </c>
      <c r="AA12" s="42">
        <f t="shared" si="4"/>
        <v>-42199.040000000008</v>
      </c>
      <c r="AB12" s="258"/>
      <c r="AC12" s="258">
        <f>110000</f>
        <v>110000</v>
      </c>
      <c r="AD12" s="258"/>
      <c r="AE12" s="103">
        <f>H12-Y12</f>
        <v>350179.04000000004</v>
      </c>
    </row>
    <row r="13" spans="1:32" ht="26.25" thickBot="1" x14ac:dyDescent="0.3">
      <c r="A13" t="s">
        <v>413</v>
      </c>
      <c r="B13" s="102">
        <v>44734</v>
      </c>
      <c r="C13">
        <v>49950.64</v>
      </c>
      <c r="D13" t="s">
        <v>414</v>
      </c>
      <c r="E13" s="300">
        <v>8</v>
      </c>
      <c r="F13" s="295" t="s">
        <v>419</v>
      </c>
      <c r="G13" s="44">
        <v>2240</v>
      </c>
      <c r="H13" s="37">
        <f>SUM(I13:T13)</f>
        <v>199000</v>
      </c>
      <c r="I13" s="205"/>
      <c r="J13" s="205"/>
      <c r="K13" s="205"/>
      <c r="L13" s="205"/>
      <c r="M13" s="205"/>
      <c r="N13" s="276">
        <v>199000</v>
      </c>
      <c r="O13" s="205"/>
      <c r="P13" s="205"/>
      <c r="Q13" s="205"/>
      <c r="R13" s="205"/>
      <c r="S13" s="205"/>
      <c r="T13" s="205">
        <f>99000+100000-199000</f>
        <v>0</v>
      </c>
      <c r="U13" s="39">
        <f t="shared" si="2"/>
        <v>199000</v>
      </c>
      <c r="V13" s="40"/>
      <c r="W13" s="40"/>
      <c r="X13" s="41">
        <f t="shared" si="0"/>
        <v>0</v>
      </c>
      <c r="Y13" s="40">
        <f>49950.64</f>
        <v>49950.64</v>
      </c>
      <c r="Z13" s="41">
        <f t="shared" si="3"/>
        <v>49950.64</v>
      </c>
      <c r="AA13" s="42">
        <f t="shared" si="4"/>
        <v>-149049.35999999999</v>
      </c>
      <c r="AB13" s="258">
        <v>-157535.9</v>
      </c>
      <c r="AC13" s="258">
        <v>942370</v>
      </c>
      <c r="AD13" s="258">
        <f>AC13+AB13</f>
        <v>784834.1</v>
      </c>
      <c r="AE13" s="103" t="s">
        <v>429</v>
      </c>
    </row>
    <row r="14" spans="1:32" ht="26.25" thickBot="1" x14ac:dyDescent="0.3">
      <c r="A14" t="s">
        <v>422</v>
      </c>
      <c r="B14" t="s">
        <v>423</v>
      </c>
      <c r="C14" t="s">
        <v>424</v>
      </c>
      <c r="D14" t="s">
        <v>386</v>
      </c>
      <c r="E14" s="300">
        <v>9</v>
      </c>
      <c r="F14" s="173" t="s">
        <v>34</v>
      </c>
      <c r="G14" s="44">
        <v>2240</v>
      </c>
      <c r="H14" s="37">
        <f t="shared" si="1"/>
        <v>199000</v>
      </c>
      <c r="I14" s="205"/>
      <c r="J14" s="205"/>
      <c r="K14" s="205">
        <v>44000</v>
      </c>
      <c r="L14" s="205"/>
      <c r="M14" s="205"/>
      <c r="N14" s="205">
        <f>27750+27750</f>
        <v>55500</v>
      </c>
      <c r="O14" s="205">
        <v>27750</v>
      </c>
      <c r="P14" s="205">
        <v>27750</v>
      </c>
      <c r="Q14" s="205">
        <v>22000</v>
      </c>
      <c r="R14" s="205">
        <v>22000</v>
      </c>
      <c r="S14" s="205"/>
      <c r="T14" s="205"/>
      <c r="U14" s="39">
        <f t="shared" si="2"/>
        <v>127250</v>
      </c>
      <c r="V14" s="40">
        <f>69000</f>
        <v>69000</v>
      </c>
      <c r="W14" s="40">
        <f>69000</f>
        <v>69000</v>
      </c>
      <c r="X14" s="41">
        <f t="shared" si="0"/>
        <v>0</v>
      </c>
      <c r="Y14" s="40">
        <f>69000</f>
        <v>69000</v>
      </c>
      <c r="Z14" s="41">
        <f t="shared" si="3"/>
        <v>0</v>
      </c>
      <c r="AA14" s="42">
        <f t="shared" si="4"/>
        <v>-58250</v>
      </c>
      <c r="AB14" s="258">
        <v>157535.9</v>
      </c>
      <c r="AC14" s="258">
        <f>AC10-AC13</f>
        <v>57630</v>
      </c>
      <c r="AD14" s="258">
        <f>AC14+AB14</f>
        <v>215165.9</v>
      </c>
      <c r="AE14" s="103" t="s">
        <v>428</v>
      </c>
    </row>
    <row r="15" spans="1:32" ht="16.5" thickBot="1" x14ac:dyDescent="0.3">
      <c r="E15" s="300">
        <v>10</v>
      </c>
      <c r="F15" s="316" t="s">
        <v>35</v>
      </c>
      <c r="G15" s="44">
        <v>2240</v>
      </c>
      <c r="H15" s="37">
        <f t="shared" si="1"/>
        <v>1000000</v>
      </c>
      <c r="I15" s="205"/>
      <c r="J15" s="205"/>
      <c r="K15" s="205"/>
      <c r="L15" s="205"/>
      <c r="M15" s="312">
        <f>400000</f>
        <v>400000</v>
      </c>
      <c r="N15" s="313"/>
      <c r="O15" s="312">
        <f>442370+47630</f>
        <v>490000</v>
      </c>
      <c r="P15" s="312">
        <f>110000</f>
        <v>110000</v>
      </c>
      <c r="Q15" s="205"/>
      <c r="R15" s="205"/>
      <c r="S15" s="205"/>
      <c r="T15" s="205"/>
      <c r="U15" s="39">
        <f t="shared" si="2"/>
        <v>890000</v>
      </c>
      <c r="V15" s="40"/>
      <c r="W15" s="40"/>
      <c r="X15" s="41">
        <f t="shared" si="0"/>
        <v>0</v>
      </c>
      <c r="Y15" s="40"/>
      <c r="Z15" s="41">
        <f t="shared" si="3"/>
        <v>0</v>
      </c>
      <c r="AA15" s="42">
        <f t="shared" si="4"/>
        <v>-890000</v>
      </c>
      <c r="AB15" s="258"/>
      <c r="AC15" s="258"/>
      <c r="AD15" s="258"/>
    </row>
    <row r="16" spans="1:32" ht="26.25" thickBot="1" x14ac:dyDescent="0.3">
      <c r="A16" t="s">
        <v>243</v>
      </c>
      <c r="D16" t="s">
        <v>242</v>
      </c>
      <c r="E16" s="300">
        <v>11</v>
      </c>
      <c r="F16" s="45" t="s">
        <v>36</v>
      </c>
      <c r="G16" s="44">
        <v>2240</v>
      </c>
      <c r="H16" s="37">
        <f t="shared" si="1"/>
        <v>49000</v>
      </c>
      <c r="I16" s="205">
        <v>20000</v>
      </c>
      <c r="J16" s="205"/>
      <c r="K16" s="205"/>
      <c r="L16" s="205"/>
      <c r="M16" s="205"/>
      <c r="N16" s="205"/>
      <c r="O16" s="205"/>
      <c r="P16" s="276"/>
      <c r="Q16" s="276"/>
      <c r="R16" s="276"/>
      <c r="S16" s="205"/>
      <c r="T16" s="205">
        <v>29000</v>
      </c>
      <c r="U16" s="39">
        <f t="shared" si="2"/>
        <v>20000</v>
      </c>
      <c r="V16" s="40">
        <f>19994.59</f>
        <v>19994.59</v>
      </c>
      <c r="W16" s="40">
        <f>19994.59</f>
        <v>19994.59</v>
      </c>
      <c r="X16" s="41">
        <f t="shared" si="0"/>
        <v>0</v>
      </c>
      <c r="Y16" s="40">
        <f>19994.59</f>
        <v>19994.59</v>
      </c>
      <c r="Z16" s="41">
        <f t="shared" si="3"/>
        <v>0</v>
      </c>
      <c r="AA16" s="42">
        <f t="shared" si="4"/>
        <v>-5.4099999999998545</v>
      </c>
      <c r="AB16" s="258"/>
      <c r="AC16" s="258"/>
      <c r="AD16" s="258"/>
    </row>
    <row r="17" spans="1:32" ht="26.25" thickBot="1" x14ac:dyDescent="0.3">
      <c r="E17" s="300">
        <v>12</v>
      </c>
      <c r="F17" s="45" t="s">
        <v>37</v>
      </c>
      <c r="G17" s="44">
        <v>2240</v>
      </c>
      <c r="H17" s="37">
        <f t="shared" si="1"/>
        <v>348000</v>
      </c>
      <c r="I17" s="205"/>
      <c r="J17" s="205"/>
      <c r="K17" s="205"/>
      <c r="L17" s="205"/>
      <c r="M17" s="205"/>
      <c r="N17" s="205"/>
      <c r="O17" s="205"/>
      <c r="P17" s="276">
        <f>110000-110000</f>
        <v>0</v>
      </c>
      <c r="Q17" s="276"/>
      <c r="R17" s="276">
        <f>8900+110000</f>
        <v>118900</v>
      </c>
      <c r="S17" s="205">
        <f>101100</f>
        <v>101100</v>
      </c>
      <c r="T17" s="205">
        <v>128000</v>
      </c>
      <c r="U17" s="39">
        <f t="shared" si="2"/>
        <v>0</v>
      </c>
      <c r="V17" s="40"/>
      <c r="W17" s="40"/>
      <c r="X17" s="41">
        <f t="shared" si="0"/>
        <v>0</v>
      </c>
      <c r="Y17" s="40"/>
      <c r="Z17" s="41">
        <f t="shared" si="3"/>
        <v>0</v>
      </c>
      <c r="AA17" s="42">
        <f t="shared" si="4"/>
        <v>0</v>
      </c>
      <c r="AB17" s="258"/>
      <c r="AC17" s="258"/>
      <c r="AD17" s="258"/>
    </row>
    <row r="18" spans="1:32" ht="26.25" thickBot="1" x14ac:dyDescent="0.3">
      <c r="A18" t="s">
        <v>349</v>
      </c>
      <c r="D18" t="s">
        <v>348</v>
      </c>
      <c r="E18" s="300">
        <v>13</v>
      </c>
      <c r="F18" s="45" t="s">
        <v>38</v>
      </c>
      <c r="G18" s="44">
        <v>2240</v>
      </c>
      <c r="H18" s="37">
        <f t="shared" si="1"/>
        <v>49000</v>
      </c>
      <c r="I18" s="205">
        <v>5000</v>
      </c>
      <c r="J18" s="205">
        <f>5000+8900</f>
        <v>13900</v>
      </c>
      <c r="K18" s="205">
        <f>30100</f>
        <v>30100</v>
      </c>
      <c r="L18" s="205"/>
      <c r="M18" s="205"/>
      <c r="N18" s="205"/>
      <c r="O18" s="205"/>
      <c r="P18" s="205"/>
      <c r="Q18" s="205"/>
      <c r="R18" s="205"/>
      <c r="S18" s="205"/>
      <c r="T18" s="205"/>
      <c r="U18" s="39">
        <f t="shared" si="2"/>
        <v>49000</v>
      </c>
      <c r="V18" s="40">
        <f>230+230+230+39406+627.69+230+785+230</f>
        <v>41968.69</v>
      </c>
      <c r="W18" s="40">
        <f>230+230+230+39406+627.69+230+785+230</f>
        <v>41968.69</v>
      </c>
      <c r="X18" s="41">
        <f t="shared" si="0"/>
        <v>0</v>
      </c>
      <c r="Y18" s="40">
        <f>230+230+230+39406+627.69+230+785+230</f>
        <v>41968.69</v>
      </c>
      <c r="Z18" s="41">
        <f t="shared" si="3"/>
        <v>0</v>
      </c>
      <c r="AA18" s="42">
        <f t="shared" si="4"/>
        <v>-7031.3099999999977</v>
      </c>
      <c r="AB18" s="258"/>
      <c r="AC18" s="258"/>
      <c r="AD18" s="258"/>
      <c r="AE18" s="103">
        <f>AA18+AA16+AA14+AA12+AA7+AA6</f>
        <v>-159111.67999999999</v>
      </c>
    </row>
    <row r="19" spans="1:32" ht="39" thickBot="1" x14ac:dyDescent="0.3">
      <c r="D19" t="s">
        <v>376</v>
      </c>
      <c r="E19" s="300">
        <v>14</v>
      </c>
      <c r="F19" s="45" t="s">
        <v>364</v>
      </c>
      <c r="G19" s="44">
        <v>2240</v>
      </c>
      <c r="H19" s="37">
        <f t="shared" si="1"/>
        <v>8454</v>
      </c>
      <c r="I19" s="205"/>
      <c r="J19" s="205"/>
      <c r="K19" s="205">
        <f>8454</f>
        <v>8454</v>
      </c>
      <c r="L19" s="205"/>
      <c r="M19" s="205"/>
      <c r="N19" s="205"/>
      <c r="O19" s="205"/>
      <c r="P19" s="205"/>
      <c r="Q19" s="205"/>
      <c r="R19" s="205"/>
      <c r="S19" s="205"/>
      <c r="T19" s="205"/>
      <c r="U19" s="39">
        <f t="shared" si="2"/>
        <v>8454</v>
      </c>
      <c r="V19" s="40">
        <f>8453.88</f>
        <v>8453.8799999999992</v>
      </c>
      <c r="W19" s="40">
        <f>8453.88</f>
        <v>8453.8799999999992</v>
      </c>
      <c r="X19" s="41">
        <f t="shared" si="0"/>
        <v>0</v>
      </c>
      <c r="Y19" s="40">
        <f>8453.88</f>
        <v>8453.8799999999992</v>
      </c>
      <c r="Z19" s="41">
        <f t="shared" si="3"/>
        <v>0</v>
      </c>
      <c r="AA19" s="42">
        <f t="shared" si="4"/>
        <v>-0.12000000000080036</v>
      </c>
      <c r="AB19" s="258"/>
      <c r="AC19" s="258"/>
      <c r="AD19" s="258"/>
    </row>
    <row r="20" spans="1:32" ht="26.25" thickBot="1" x14ac:dyDescent="0.3">
      <c r="E20" s="300">
        <v>15</v>
      </c>
      <c r="F20" s="45" t="s">
        <v>39</v>
      </c>
      <c r="G20" s="44">
        <v>2240</v>
      </c>
      <c r="H20" s="37">
        <f t="shared" si="1"/>
        <v>199000</v>
      </c>
      <c r="I20" s="205"/>
      <c r="J20" s="205"/>
      <c r="K20" s="205"/>
      <c r="L20" s="205"/>
      <c r="M20" s="205"/>
      <c r="N20" s="205"/>
      <c r="O20" s="205"/>
      <c r="P20" s="205"/>
      <c r="Q20" s="205"/>
      <c r="R20" s="205">
        <f>58401</f>
        <v>58401</v>
      </c>
      <c r="S20" s="205">
        <f>99000+41599</f>
        <v>140599</v>
      </c>
      <c r="T20" s="205"/>
      <c r="U20" s="39">
        <f t="shared" si="2"/>
        <v>0</v>
      </c>
      <c r="V20" s="40"/>
      <c r="W20" s="40"/>
      <c r="X20" s="41">
        <f t="shared" si="0"/>
        <v>0</v>
      </c>
      <c r="Y20" s="40"/>
      <c r="Z20" s="41">
        <f t="shared" si="3"/>
        <v>0</v>
      </c>
      <c r="AA20" s="42">
        <f t="shared" si="4"/>
        <v>0</v>
      </c>
      <c r="AB20" s="258"/>
      <c r="AC20" s="258"/>
      <c r="AD20" s="258"/>
    </row>
    <row r="21" spans="1:32" ht="16.5" thickBot="1" x14ac:dyDescent="0.3">
      <c r="E21" s="300">
        <v>16</v>
      </c>
      <c r="F21" s="45" t="s">
        <v>40</v>
      </c>
      <c r="G21" s="44">
        <v>2240</v>
      </c>
      <c r="H21" s="37">
        <f>SUM(I21:T21)</f>
        <v>1562000</v>
      </c>
      <c r="I21" s="205">
        <f>SUM(I22:I28)</f>
        <v>0</v>
      </c>
      <c r="J21" s="205">
        <f t="shared" ref="J21:S21" si="5">SUM(J22:J28)</f>
        <v>0</v>
      </c>
      <c r="K21" s="205">
        <f t="shared" si="5"/>
        <v>0</v>
      </c>
      <c r="L21" s="205">
        <f t="shared" si="5"/>
        <v>0</v>
      </c>
      <c r="M21" s="205">
        <f t="shared" si="5"/>
        <v>150000</v>
      </c>
      <c r="N21" s="205">
        <f t="shared" si="5"/>
        <v>301000</v>
      </c>
      <c r="O21" s="205">
        <f t="shared" si="5"/>
        <v>27000</v>
      </c>
      <c r="P21" s="205">
        <f t="shared" si="5"/>
        <v>37000</v>
      </c>
      <c r="Q21" s="205">
        <f t="shared" si="5"/>
        <v>37000</v>
      </c>
      <c r="R21" s="205">
        <f t="shared" si="5"/>
        <v>37000</v>
      </c>
      <c r="S21" s="205">
        <f t="shared" si="5"/>
        <v>395000</v>
      </c>
      <c r="T21" s="205">
        <f>SUM(T22:T28)</f>
        <v>578000</v>
      </c>
      <c r="U21" s="38">
        <f>SUM(U22:U28)</f>
        <v>478000</v>
      </c>
      <c r="V21" s="38">
        <f>SUM(V22:V28)</f>
        <v>0</v>
      </c>
      <c r="W21" s="38">
        <f t="shared" ref="W21:AA21" si="6">SUM(W22:W28)</f>
        <v>0</v>
      </c>
      <c r="X21" s="38">
        <f t="shared" si="6"/>
        <v>0</v>
      </c>
      <c r="Y21" s="38">
        <f t="shared" si="6"/>
        <v>0</v>
      </c>
      <c r="Z21" s="38">
        <f t="shared" si="6"/>
        <v>0</v>
      </c>
      <c r="AA21" s="38">
        <f t="shared" si="6"/>
        <v>-478000</v>
      </c>
      <c r="AB21" s="259"/>
      <c r="AC21" s="259"/>
      <c r="AD21" s="259"/>
    </row>
    <row r="22" spans="1:32" ht="18" customHeight="1" thickBot="1" x14ac:dyDescent="0.3">
      <c r="E22" s="301" t="s">
        <v>365</v>
      </c>
      <c r="F22" s="294" t="s">
        <v>406</v>
      </c>
      <c r="G22" s="47"/>
      <c r="H22" s="37">
        <f t="shared" si="1"/>
        <v>199000</v>
      </c>
      <c r="I22" s="205"/>
      <c r="J22" s="205"/>
      <c r="K22" s="205"/>
      <c r="L22" s="205"/>
      <c r="M22" s="205"/>
      <c r="N22" s="291">
        <v>199000</v>
      </c>
      <c r="O22" s="205"/>
      <c r="P22" s="205"/>
      <c r="Q22" s="205"/>
      <c r="R22" s="205"/>
      <c r="S22" s="205"/>
      <c r="T22" s="205"/>
      <c r="U22" s="39">
        <f t="shared" si="2"/>
        <v>199000</v>
      </c>
      <c r="V22" s="40"/>
      <c r="W22" s="40"/>
      <c r="X22" s="41">
        <f t="shared" ref="X22:X29" si="7">W22-V22</f>
        <v>0</v>
      </c>
      <c r="Y22" s="40"/>
      <c r="Z22" s="41">
        <f t="shared" ref="Z22:Z29" si="8">Y22-V22</f>
        <v>0</v>
      </c>
      <c r="AA22" s="293">
        <f t="shared" ref="AA22:AA29" si="9">Y22-U22</f>
        <v>-199000</v>
      </c>
      <c r="AB22" s="310"/>
      <c r="AC22" s="258">
        <f>AA22+AA24+AA15+AA13</f>
        <v>-1340049.3599999999</v>
      </c>
      <c r="AD22" s="258"/>
    </row>
    <row r="23" spans="1:32" ht="18.75" customHeight="1" thickBot="1" x14ac:dyDescent="0.3">
      <c r="E23" s="301" t="s">
        <v>366</v>
      </c>
      <c r="F23" s="277" t="s">
        <v>267</v>
      </c>
      <c r="G23" s="47"/>
      <c r="H23" s="37">
        <f t="shared" si="1"/>
        <v>150000</v>
      </c>
      <c r="I23" s="205"/>
      <c r="J23" s="205"/>
      <c r="K23" s="205"/>
      <c r="L23" s="205"/>
      <c r="M23" s="205">
        <v>150000</v>
      </c>
      <c r="N23" s="205"/>
      <c r="O23" s="205"/>
      <c r="P23" s="205"/>
      <c r="Q23" s="205"/>
      <c r="R23" s="205"/>
      <c r="S23" s="205"/>
      <c r="T23" s="205"/>
      <c r="U23" s="39">
        <f t="shared" si="2"/>
        <v>150000</v>
      </c>
      <c r="V23" s="40"/>
      <c r="W23" s="40"/>
      <c r="X23" s="41">
        <f t="shared" si="7"/>
        <v>0</v>
      </c>
      <c r="Y23" s="40"/>
      <c r="Z23" s="41">
        <f t="shared" si="8"/>
        <v>0</v>
      </c>
      <c r="AA23" s="293">
        <f t="shared" si="9"/>
        <v>-150000</v>
      </c>
      <c r="AB23" s="310"/>
      <c r="AC23" s="258">
        <f>AA46-AC22</f>
        <v>-884820.19</v>
      </c>
      <c r="AD23" s="258"/>
    </row>
    <row r="24" spans="1:32" ht="26.25" thickBot="1" x14ac:dyDescent="0.3">
      <c r="E24" s="301" t="s">
        <v>367</v>
      </c>
      <c r="F24" s="294" t="s">
        <v>407</v>
      </c>
      <c r="G24" s="47"/>
      <c r="H24" s="37">
        <f t="shared" si="1"/>
        <v>110000</v>
      </c>
      <c r="I24" s="205"/>
      <c r="J24" s="205"/>
      <c r="K24" s="205"/>
      <c r="L24" s="205"/>
      <c r="M24" s="205"/>
      <c r="N24" s="251">
        <v>102000</v>
      </c>
      <c r="O24" s="205"/>
      <c r="P24" s="205"/>
      <c r="Q24" s="205"/>
      <c r="R24" s="205"/>
      <c r="S24" s="205">
        <f>50000+60000-102000</f>
        <v>8000</v>
      </c>
      <c r="T24" s="205"/>
      <c r="U24" s="39">
        <f t="shared" si="2"/>
        <v>102000</v>
      </c>
      <c r="V24" s="40"/>
      <c r="W24" s="40"/>
      <c r="X24" s="41">
        <f t="shared" si="7"/>
        <v>0</v>
      </c>
      <c r="Y24" s="40"/>
      <c r="Z24" s="41">
        <f t="shared" si="8"/>
        <v>0</v>
      </c>
      <c r="AA24" s="293">
        <f t="shared" si="9"/>
        <v>-102000</v>
      </c>
      <c r="AB24" s="310"/>
      <c r="AC24" s="258"/>
      <c r="AD24" s="258"/>
    </row>
    <row r="25" spans="1:32" ht="26.25" thickBot="1" x14ac:dyDescent="0.3">
      <c r="E25" s="301" t="s">
        <v>368</v>
      </c>
      <c r="F25" s="277" t="s">
        <v>41</v>
      </c>
      <c r="G25" s="47"/>
      <c r="H25" s="37">
        <f t="shared" si="1"/>
        <v>49000</v>
      </c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>
        <v>49000</v>
      </c>
      <c r="U25" s="39">
        <f t="shared" si="2"/>
        <v>0</v>
      </c>
      <c r="V25" s="40"/>
      <c r="W25" s="40"/>
      <c r="X25" s="41">
        <f t="shared" si="7"/>
        <v>0</v>
      </c>
      <c r="Y25" s="40"/>
      <c r="Z25" s="41">
        <f t="shared" si="8"/>
        <v>0</v>
      </c>
      <c r="AA25" s="293">
        <f t="shared" si="9"/>
        <v>0</v>
      </c>
      <c r="AB25" s="310"/>
      <c r="AC25" s="258"/>
      <c r="AD25" s="258"/>
    </row>
    <row r="26" spans="1:32" ht="51.75" thickBot="1" x14ac:dyDescent="0.3">
      <c r="E26" s="301" t="s">
        <v>369</v>
      </c>
      <c r="F26" s="277" t="s">
        <v>42</v>
      </c>
      <c r="G26" s="47"/>
      <c r="H26" s="37">
        <f t="shared" si="1"/>
        <v>199000</v>
      </c>
      <c r="I26" s="205"/>
      <c r="J26" s="205"/>
      <c r="K26" s="205"/>
      <c r="L26" s="205"/>
      <c r="M26" s="205"/>
      <c r="N26" s="276">
        <f>99000+100000-199000</f>
        <v>0</v>
      </c>
      <c r="O26" s="205"/>
      <c r="P26" s="205"/>
      <c r="Q26" s="205"/>
      <c r="R26" s="205"/>
      <c r="S26" s="205"/>
      <c r="T26" s="205">
        <v>199000</v>
      </c>
      <c r="U26" s="39">
        <f t="shared" si="2"/>
        <v>0</v>
      </c>
      <c r="V26" s="40"/>
      <c r="W26" s="40"/>
      <c r="X26" s="41">
        <f t="shared" si="7"/>
        <v>0</v>
      </c>
      <c r="Y26" s="40"/>
      <c r="Z26" s="41">
        <f t="shared" si="8"/>
        <v>0</v>
      </c>
      <c r="AA26" s="293">
        <f t="shared" si="9"/>
        <v>0</v>
      </c>
      <c r="AB26" s="310"/>
      <c r="AC26" s="258"/>
      <c r="AD26" s="258"/>
    </row>
    <row r="27" spans="1:32" ht="21.75" customHeight="1" thickBot="1" x14ac:dyDescent="0.3">
      <c r="E27" s="301" t="s">
        <v>370</v>
      </c>
      <c r="F27" s="46" t="s">
        <v>268</v>
      </c>
      <c r="G27" s="47"/>
      <c r="H27" s="37">
        <f t="shared" si="1"/>
        <v>205000</v>
      </c>
      <c r="I27" s="205"/>
      <c r="J27" s="205"/>
      <c r="K27" s="205"/>
      <c r="L27" s="205"/>
      <c r="M27" s="205"/>
      <c r="N27" s="205"/>
      <c r="O27" s="205">
        <f>27000</f>
        <v>27000</v>
      </c>
      <c r="P27" s="205">
        <v>37000</v>
      </c>
      <c r="Q27" s="205">
        <v>37000</v>
      </c>
      <c r="R27" s="205">
        <v>37000</v>
      </c>
      <c r="S27" s="205">
        <v>37000</v>
      </c>
      <c r="T27" s="205">
        <v>30000</v>
      </c>
      <c r="U27" s="39">
        <f t="shared" si="2"/>
        <v>27000</v>
      </c>
      <c r="V27" s="40"/>
      <c r="W27" s="40"/>
      <c r="X27" s="41">
        <f t="shared" si="7"/>
        <v>0</v>
      </c>
      <c r="Y27" s="40"/>
      <c r="Z27" s="41">
        <f t="shared" si="8"/>
        <v>0</v>
      </c>
      <c r="AA27" s="42">
        <f t="shared" si="9"/>
        <v>-27000</v>
      </c>
      <c r="AB27" s="258"/>
      <c r="AC27" s="258"/>
      <c r="AD27" s="258"/>
    </row>
    <row r="28" spans="1:32" ht="42.75" customHeight="1" thickBot="1" x14ac:dyDescent="0.3">
      <c r="E28" s="301" t="s">
        <v>371</v>
      </c>
      <c r="F28" s="46" t="s">
        <v>43</v>
      </c>
      <c r="G28" s="47"/>
      <c r="H28" s="37">
        <f t="shared" si="1"/>
        <v>650000</v>
      </c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>
        <f>350000</f>
        <v>350000</v>
      </c>
      <c r="T28" s="205">
        <f>300000</f>
        <v>300000</v>
      </c>
      <c r="U28" s="39">
        <f t="shared" si="2"/>
        <v>0</v>
      </c>
      <c r="V28" s="40"/>
      <c r="W28" s="40"/>
      <c r="X28" s="41">
        <f t="shared" si="7"/>
        <v>0</v>
      </c>
      <c r="Y28" s="40"/>
      <c r="Z28" s="41">
        <f t="shared" si="8"/>
        <v>0</v>
      </c>
      <c r="AA28" s="42">
        <f t="shared" si="9"/>
        <v>0</v>
      </c>
      <c r="AB28" s="258"/>
      <c r="AC28" s="258"/>
      <c r="AD28" s="258"/>
      <c r="AE28">
        <f>324707.17+43099</f>
        <v>367806.17</v>
      </c>
      <c r="AF28" s="103" t="e">
        <f>AF30-AE30</f>
        <v>#REF!</v>
      </c>
    </row>
    <row r="29" spans="1:32" ht="42.75" customHeight="1" thickBot="1" x14ac:dyDescent="0.3">
      <c r="E29" s="301" t="s">
        <v>417</v>
      </c>
      <c r="F29" s="287" t="s">
        <v>418</v>
      </c>
      <c r="G29" s="288">
        <v>2240</v>
      </c>
      <c r="H29" s="289">
        <f t="shared" ref="H29" si="10">SUM(I29:T29)</f>
        <v>5621</v>
      </c>
      <c r="I29" s="205"/>
      <c r="J29" s="205"/>
      <c r="K29" s="205"/>
      <c r="L29" s="205"/>
      <c r="M29" s="205"/>
      <c r="N29" s="205"/>
      <c r="O29" s="290">
        <v>5621</v>
      </c>
      <c r="P29" s="205"/>
      <c r="Q29" s="205"/>
      <c r="R29" s="205"/>
      <c r="S29" s="205"/>
      <c r="T29" s="205"/>
      <c r="U29" s="39">
        <f t="shared" si="2"/>
        <v>5621</v>
      </c>
      <c r="V29" s="40"/>
      <c r="W29" s="40"/>
      <c r="X29" s="41">
        <f t="shared" si="7"/>
        <v>0</v>
      </c>
      <c r="Y29" s="220">
        <f>5621</f>
        <v>5621</v>
      </c>
      <c r="Z29" s="41">
        <f t="shared" si="8"/>
        <v>5621</v>
      </c>
      <c r="AA29" s="42">
        <f t="shared" si="9"/>
        <v>0</v>
      </c>
      <c r="AB29" s="258"/>
      <c r="AC29" s="258"/>
      <c r="AD29" s="258"/>
      <c r="AF29" s="103"/>
    </row>
    <row r="30" spans="1:32" ht="26.25" thickBot="1" x14ac:dyDescent="0.3">
      <c r="E30" s="283">
        <f>E29+1</f>
        <v>18</v>
      </c>
      <c r="F30" s="111" t="s">
        <v>44</v>
      </c>
      <c r="G30" s="112">
        <v>2610</v>
      </c>
      <c r="H30" s="113">
        <f>SUM(H31:H33)</f>
        <v>14056000</v>
      </c>
      <c r="I30" s="207">
        <f>I31+I32+I33</f>
        <v>900000</v>
      </c>
      <c r="J30" s="207">
        <f t="shared" ref="J30:T30" si="11">J31+J32+J33</f>
        <v>1060600</v>
      </c>
      <c r="K30" s="207">
        <f t="shared" si="11"/>
        <v>1055600</v>
      </c>
      <c r="L30" s="207">
        <f t="shared" si="11"/>
        <v>1240600</v>
      </c>
      <c r="M30" s="207">
        <f t="shared" si="11"/>
        <v>1215600</v>
      </c>
      <c r="N30" s="207">
        <f t="shared" si="11"/>
        <v>2220600</v>
      </c>
      <c r="O30" s="207">
        <f t="shared" si="11"/>
        <v>1255600</v>
      </c>
      <c r="P30" s="207">
        <f t="shared" si="11"/>
        <v>1250600</v>
      </c>
      <c r="Q30" s="207">
        <f t="shared" si="11"/>
        <v>1185600</v>
      </c>
      <c r="R30" s="207">
        <f t="shared" si="11"/>
        <v>1225600</v>
      </c>
      <c r="S30" s="207">
        <f t="shared" si="11"/>
        <v>1155600</v>
      </c>
      <c r="T30" s="207">
        <f t="shared" si="11"/>
        <v>290000</v>
      </c>
      <c r="U30" s="113">
        <f t="shared" ref="U30:Z30" si="12">SUM(U31:U33)</f>
        <v>8948600</v>
      </c>
      <c r="V30" s="113">
        <f t="shared" si="12"/>
        <v>6738355.8900000006</v>
      </c>
      <c r="W30" s="113">
        <f t="shared" si="12"/>
        <v>6730786.3400000008</v>
      </c>
      <c r="X30" s="113">
        <f t="shared" si="12"/>
        <v>-7569.5499999998137</v>
      </c>
      <c r="Y30" s="113">
        <f t="shared" si="12"/>
        <v>7374737.3400000017</v>
      </c>
      <c r="Z30" s="113">
        <f t="shared" si="12"/>
        <v>636381.45000000065</v>
      </c>
      <c r="AA30" s="113">
        <f>SUM(AA31:AA33)</f>
        <v>-1573862.6599999988</v>
      </c>
      <c r="AB30" s="199"/>
      <c r="AC30" s="199">
        <v>6734485.3399999999</v>
      </c>
      <c r="AD30" s="199"/>
      <c r="AE30" s="199">
        <f>AC30-Y30</f>
        <v>-640252.00000000186</v>
      </c>
      <c r="AF30" s="103" t="e">
        <f>#REF!+#REF!+#REF!+#REF!+#REF!+#REF!+#REF!</f>
        <v>#REF!</v>
      </c>
    </row>
    <row r="31" spans="1:32" ht="16.5" thickBot="1" x14ac:dyDescent="0.3">
      <c r="E31" s="44"/>
      <c r="F31" s="292" t="s">
        <v>207</v>
      </c>
      <c r="G31" s="47">
        <v>2610</v>
      </c>
      <c r="H31" s="37">
        <f t="shared" si="1"/>
        <v>8250000</v>
      </c>
      <c r="I31" s="205">
        <v>500000</v>
      </c>
      <c r="J31" s="205">
        <v>600000</v>
      </c>
      <c r="K31" s="205">
        <v>600000</v>
      </c>
      <c r="L31" s="205">
        <v>700000</v>
      </c>
      <c r="M31" s="205">
        <v>760000</v>
      </c>
      <c r="N31" s="252">
        <f>765000-600000+600000+600000</f>
        <v>1365000</v>
      </c>
      <c r="O31" s="206">
        <v>765000</v>
      </c>
      <c r="P31" s="206">
        <v>760000</v>
      </c>
      <c r="Q31" s="206">
        <v>700000</v>
      </c>
      <c r="R31" s="206">
        <v>730000</v>
      </c>
      <c r="S31" s="206">
        <v>640000</v>
      </c>
      <c r="T31" s="206">
        <f>730000-600000</f>
        <v>130000</v>
      </c>
      <c r="U31" s="39">
        <f t="shared" si="2"/>
        <v>5290000</v>
      </c>
      <c r="V31" s="105">
        <f>336413.39+1442.96+149395.75+40854.98+227174.92+232411.06+93730.89+46828+40348.24+250297.26+12629.52+13062.06+11811.37+233830.04+41572.59+48587.66+353193.32+3391.6+26280.18+157725.81+53264.13+9450.92+46166.48+76033+17956.01+298881.73+27676.89+3400+30147+220704.32+84557.11+105554.93+17988.14+352630.66+40383.49+148981.9+341608+3019.04</f>
        <v>4199385.3500000006</v>
      </c>
      <c r="W31" s="105">
        <f>336413.39+1442.96+149395.75+40854.98+227174.92+232411.06+93730.89+46828+40348.24+250297.26+12629.52+13062.06+11811.37+233830.04+41572.59+48587.66+353193.32+3391.6+26280.18+157725.81+53264.13+9450.92+46166.48+76033+17956.01+298881.73+27676.89+3400+30147+220704.32+84557.11+105554.93+17988.14+352630.66+40383.49+148981.9+341608-3699</f>
        <v>4192667.3100000005</v>
      </c>
      <c r="X31" s="106">
        <f t="shared" ref="X31:X33" si="13">W31-V31</f>
        <v>-6718.0400000000373</v>
      </c>
      <c r="Y31" s="105">
        <f>336413.39+1442.96+149395.75+40854.98+227174.92+327321.95+46828+40348.24+245297.26+5000+8591.28+1977.36+2060.88+13062.06+3130+11811.37+233830.04+41572.59+48587.66+353193.32+3391.6+26280.18+157725.81+5130+53264.13+9450.92+46166.48+76033+17956.01+298881.73+27676.89+3400-9440+220704.32+30147+84557.11+105554.93+17988.14+352630.66+40383.49+148981.9+341608+3019.04+123419.75+334148.65</f>
        <v>4656953.7500000009</v>
      </c>
      <c r="Z31" s="41">
        <f>Y31-V31</f>
        <v>457568.40000000037</v>
      </c>
      <c r="AA31" s="42">
        <f t="shared" ref="AA31:AA33" si="14">Y31-U31</f>
        <v>-633046.24999999907</v>
      </c>
      <c r="AB31" s="258"/>
      <c r="AC31" s="258" t="e">
        <f>Y31-#REF!</f>
        <v>#REF!</v>
      </c>
      <c r="AD31" s="258"/>
      <c r="AE31" s="103" t="e">
        <f>Y31-#REF!</f>
        <v>#REF!</v>
      </c>
      <c r="AF31">
        <f>V31-Y31</f>
        <v>-457568.40000000037</v>
      </c>
    </row>
    <row r="32" spans="1:32" ht="26.25" thickBot="1" x14ac:dyDescent="0.3">
      <c r="E32" s="44"/>
      <c r="F32" s="292" t="s">
        <v>45</v>
      </c>
      <c r="G32" s="47">
        <v>2610</v>
      </c>
      <c r="H32" s="37">
        <f t="shared" si="1"/>
        <v>5250000</v>
      </c>
      <c r="I32" s="205">
        <v>400000</v>
      </c>
      <c r="J32" s="205">
        <v>460000</v>
      </c>
      <c r="K32" s="205">
        <v>400000</v>
      </c>
      <c r="L32" s="205">
        <v>430000</v>
      </c>
      <c r="M32" s="205">
        <v>400000</v>
      </c>
      <c r="N32" s="252">
        <f>400000+400000</f>
        <v>800000</v>
      </c>
      <c r="O32" s="206">
        <v>435000</v>
      </c>
      <c r="P32" s="206">
        <v>435000</v>
      </c>
      <c r="Q32" s="206">
        <v>430000</v>
      </c>
      <c r="R32" s="206">
        <v>440000</v>
      </c>
      <c r="S32" s="205">
        <v>460000</v>
      </c>
      <c r="T32" s="205">
        <f>560000-400000</f>
        <v>160000</v>
      </c>
      <c r="U32" s="39">
        <f t="shared" si="2"/>
        <v>3325000</v>
      </c>
      <c r="V32" s="105">
        <f>107361.39+406.99+145679.87+74971.71+22107.59+59630.42+51401.88+10083.73+181964.48+50814.64+50000+10877.03+158129.51+5305.27+29760+56146.92+209375.23+39831.69+77577+9652.8+123125.28+13720+268.4+49617.56+74077.17+7349.12+7938.27+3700.52+80270+14550.35+124450.99+19500+12952+71677.01+20000+16231.76+35545.78+123918.79+17870.29+4953.65+130105.69+851.51</f>
        <v>2303752.29</v>
      </c>
      <c r="W32" s="105">
        <f>107361.39+406.99+145679.87+74971.71+22107.59+59630.42+51401.88+10083.73+181964.48+50814.64+50000+10877.03+158129.51+5305.27+29760+56146.92+209375.23+39831.69+77577+9652.8+123125.28+13720+268.4+49617.56+74077.17+7349.12+7938.27+3700.52+80270+14550.35+124450.99+19500+12952+71677.01+20000+16231.76+35545.78+123918.79+17870.29+4953.65+130105.69</f>
        <v>2302900.7800000003</v>
      </c>
      <c r="X32" s="106">
        <f t="shared" si="13"/>
        <v>-851.50999999977648</v>
      </c>
      <c r="Y32" s="105">
        <f>107361.39+406.99+145679.87+74971.71+22107.59+59630.42+51401.88+10083.73+241655.4+50000+40637.03+113179.51+44950-8591.28+5305.27+56146.92+209375.23+39831.69+77577+9652.8+123125.28+13720+268.4+49617.56+74077.17+352.8+7349.12+7938.27+3700.52+80270+14550.35+124450.99+19500-637.8+71677.01+12952+20000+16231.76+35545.78+123918.79+17870.29+4953.65+130105.69+851.51+69599.49+109213.56</f>
        <v>2482565.3400000003</v>
      </c>
      <c r="Z32" s="41">
        <f>Y32-V32</f>
        <v>178813.05000000028</v>
      </c>
      <c r="AA32" s="42">
        <f t="shared" si="14"/>
        <v>-842434.65999999968</v>
      </c>
      <c r="AB32" s="258"/>
      <c r="AC32" s="258" t="e">
        <f>Y32-#REF!</f>
        <v>#REF!</v>
      </c>
      <c r="AD32" s="258"/>
      <c r="AE32" s="103" t="e">
        <f>Y32-#REF!</f>
        <v>#REF!</v>
      </c>
      <c r="AF32">
        <f>V32-Y32</f>
        <v>-178813.05000000028</v>
      </c>
    </row>
    <row r="33" spans="1:32" ht="26.25" thickBot="1" x14ac:dyDescent="0.3">
      <c r="E33" s="44"/>
      <c r="F33" s="46" t="s">
        <v>46</v>
      </c>
      <c r="G33" s="47">
        <v>2610</v>
      </c>
      <c r="H33" s="37">
        <f t="shared" si="1"/>
        <v>556000</v>
      </c>
      <c r="I33" s="205"/>
      <c r="J33" s="205">
        <v>600</v>
      </c>
      <c r="K33" s="205">
        <v>55600</v>
      </c>
      <c r="L33" s="205">
        <f>55600+55000</f>
        <v>110600</v>
      </c>
      <c r="M33" s="205">
        <v>55600</v>
      </c>
      <c r="N33" s="205">
        <v>55600</v>
      </c>
      <c r="O33" s="205">
        <v>55600</v>
      </c>
      <c r="P33" s="205">
        <v>55600</v>
      </c>
      <c r="Q33" s="205">
        <v>55600</v>
      </c>
      <c r="R33" s="205">
        <v>55600</v>
      </c>
      <c r="S33" s="205">
        <v>55600</v>
      </c>
      <c r="T33" s="206"/>
      <c r="U33" s="39">
        <f t="shared" si="2"/>
        <v>333600</v>
      </c>
      <c r="V33" s="40">
        <f>445+89+7792+34732.88+1558.4+22194+50602.19+1455.92+18500+32325.84+28700+1016.52+35806.5</f>
        <v>235218.25</v>
      </c>
      <c r="W33" s="40">
        <f>445+89+7792+34732.88+1558.4+22194+50602.19+1455.92+18500+32325.84+28700+1016.52+35806.5</f>
        <v>235218.25</v>
      </c>
      <c r="X33" s="41">
        <f t="shared" si="13"/>
        <v>0</v>
      </c>
      <c r="Y33" s="40">
        <f>445+89+7792+34732.88+1558.4+22194+50602.19+925+1455.92+18500-925+32325.84+28700+1016.52+35806.5</f>
        <v>235218.25</v>
      </c>
      <c r="Z33" s="41">
        <f t="shared" ref="Z33" si="15">Y33-V33</f>
        <v>0</v>
      </c>
      <c r="AA33" s="42">
        <f t="shared" si="14"/>
        <v>-98381.75</v>
      </c>
      <c r="AB33" s="258"/>
      <c r="AC33" s="258" t="e">
        <f>Y33-#REF!</f>
        <v>#REF!</v>
      </c>
      <c r="AD33" s="258"/>
      <c r="AE33" s="103" t="e">
        <f>Y33-#REF!</f>
        <v>#REF!</v>
      </c>
      <c r="AF33">
        <f>324707.17-11002.8</f>
        <v>313704.37</v>
      </c>
    </row>
    <row r="34" spans="1:32" ht="26.25" thickBot="1" x14ac:dyDescent="0.3">
      <c r="E34" s="284">
        <f>E30+1</f>
        <v>19</v>
      </c>
      <c r="F34" s="108" t="s">
        <v>47</v>
      </c>
      <c r="G34" s="109">
        <v>2610</v>
      </c>
      <c r="H34" s="110">
        <f>SUM(H35:H38)</f>
        <v>34844000</v>
      </c>
      <c r="I34" s="207">
        <f t="shared" ref="I34:T34" si="16">I35+I36+I38+I37</f>
        <v>2310000</v>
      </c>
      <c r="J34" s="207">
        <f t="shared" si="16"/>
        <v>1850000</v>
      </c>
      <c r="K34" s="207">
        <f t="shared" si="16"/>
        <v>2362298</v>
      </c>
      <c r="L34" s="207">
        <f t="shared" si="16"/>
        <v>4986248</v>
      </c>
      <c r="M34" s="207">
        <f t="shared" si="16"/>
        <v>6666458</v>
      </c>
      <c r="N34" s="207">
        <f>N35+N36+N38+N37</f>
        <v>6141000</v>
      </c>
      <c r="O34" s="207">
        <f t="shared" si="16"/>
        <v>3641000</v>
      </c>
      <c r="P34" s="207">
        <f t="shared" si="16"/>
        <v>1141000</v>
      </c>
      <c r="Q34" s="207">
        <f t="shared" si="16"/>
        <v>2531000</v>
      </c>
      <c r="R34" s="207">
        <f t="shared" si="16"/>
        <v>598129</v>
      </c>
      <c r="S34" s="207">
        <f t="shared" si="16"/>
        <v>986867</v>
      </c>
      <c r="T34" s="207">
        <f t="shared" si="16"/>
        <v>1630000</v>
      </c>
      <c r="U34" s="110">
        <f t="shared" ref="U34:AA34" si="17">SUM(U35:U38)</f>
        <v>27957004</v>
      </c>
      <c r="V34" s="110">
        <f t="shared" si="17"/>
        <v>22106270.699999999</v>
      </c>
      <c r="W34" s="110">
        <f t="shared" si="17"/>
        <v>21302712.659999996</v>
      </c>
      <c r="X34" s="110">
        <f t="shared" si="17"/>
        <v>-803558.04000000097</v>
      </c>
      <c r="Y34" s="110">
        <f t="shared" si="17"/>
        <v>22106270.699999999</v>
      </c>
      <c r="Z34" s="110">
        <f t="shared" si="17"/>
        <v>0</v>
      </c>
      <c r="AA34" s="110">
        <f t="shared" si="17"/>
        <v>-5850733.2999999989</v>
      </c>
      <c r="AB34" s="204"/>
      <c r="AC34" s="204">
        <v>21694241.989999998</v>
      </c>
      <c r="AD34" s="204"/>
      <c r="AE34" s="204">
        <f>AC34-Y34</f>
        <v>-412028.71000000089</v>
      </c>
      <c r="AF34" s="103">
        <f>AE34-Z34</f>
        <v>-412028.71000000089</v>
      </c>
    </row>
    <row r="35" spans="1:32" ht="26.25" thickBot="1" x14ac:dyDescent="0.3">
      <c r="E35" s="44"/>
      <c r="F35" s="46" t="s">
        <v>26</v>
      </c>
      <c r="G35" s="47">
        <v>2610</v>
      </c>
      <c r="H35" s="37">
        <f t="shared" si="1"/>
        <v>11000000</v>
      </c>
      <c r="I35" s="205">
        <v>810000</v>
      </c>
      <c r="J35" s="205">
        <v>850000</v>
      </c>
      <c r="K35" s="205">
        <f>920000-60000-122250.1</f>
        <v>737749.9</v>
      </c>
      <c r="L35" s="205">
        <f>920000+122250.1</f>
        <v>1042250.1</v>
      </c>
      <c r="M35" s="205">
        <v>980000</v>
      </c>
      <c r="N35" s="205">
        <v>980000</v>
      </c>
      <c r="O35" s="205">
        <v>980000</v>
      </c>
      <c r="P35" s="205">
        <v>980000</v>
      </c>
      <c r="Q35" s="205">
        <f>920000+361871</f>
        <v>1281871</v>
      </c>
      <c r="R35" s="205">
        <f>920000+40000-361871</f>
        <v>598129</v>
      </c>
      <c r="S35" s="206">
        <v>880000</v>
      </c>
      <c r="T35" s="206">
        <v>880000</v>
      </c>
      <c r="U35" s="39">
        <f t="shared" si="2"/>
        <v>6380000</v>
      </c>
      <c r="V35" s="40">
        <f>185919.11+501553.05+122431.72+337963.71+396458.71+12096+511490.68+51592.55+164571.19+47723.15+361738.11+40000+353798.51+54400+410252.15+13871+287825.46+287825.46+144623.49+433576.32</f>
        <v>4719710.3699999992</v>
      </c>
      <c r="W35" s="40">
        <f>185919.11+501553.05+122431.72+337963.71+396458.71+12096+511490.68+51592.55+164571.19+47723.15+361738.11+40000+353798.51+54400+410252.15+13871+287825.46+287825.46+144623.49+433576.32</f>
        <v>4719710.3699999992</v>
      </c>
      <c r="X35" s="41">
        <f t="shared" ref="X35:X38" si="18">W35-V35</f>
        <v>0</v>
      </c>
      <c r="Y35" s="40">
        <f>185919.11+501553.05+122431.72+337963.71+396458.71+12096+511490.68+51592.55+164571.19+47723.15+361738.11+40000+353798.51+54400+410252.15+287825.46+13871+287825.46+144623.49+433576.32</f>
        <v>4719710.3699999992</v>
      </c>
      <c r="Z35" s="41">
        <f t="shared" ref="Z35:Z38" si="19">Y35-V35</f>
        <v>0</v>
      </c>
      <c r="AA35" s="42">
        <f t="shared" ref="AA35:AA38" si="20">Y35-U35</f>
        <v>-1660289.6300000008</v>
      </c>
      <c r="AB35" s="258"/>
      <c r="AC35" s="258" t="e">
        <f>Y35-#REF!</f>
        <v>#REF!</v>
      </c>
      <c r="AD35" s="258"/>
      <c r="AE35" s="103" t="e">
        <f>Y35-#REF!</f>
        <v>#REF!</v>
      </c>
      <c r="AF35" s="103" t="e">
        <f>H35-#REF!</f>
        <v>#REF!</v>
      </c>
    </row>
    <row r="36" spans="1:32" ht="40.5" customHeight="1" thickBot="1" x14ac:dyDescent="0.3">
      <c r="E36" s="44"/>
      <c r="F36" s="292" t="s">
        <v>48</v>
      </c>
      <c r="G36" s="47">
        <v>2610</v>
      </c>
      <c r="H36" s="37">
        <f t="shared" si="1"/>
        <v>19774000</v>
      </c>
      <c r="I36" s="205"/>
      <c r="J36" s="205"/>
      <c r="K36" s="205">
        <f>830000+122250.1+156867+152298</f>
        <v>1261415.1000000001</v>
      </c>
      <c r="L36" s="205">
        <f>2000000-122250.1+1154080+50000+617168</f>
        <v>3698997.9</v>
      </c>
      <c r="M36" s="205">
        <f>2000000+450000+1281458-150000+2000000</f>
        <v>5581458</v>
      </c>
      <c r="N36" s="253">
        <f>2661000-2500000+2500000+2500000</f>
        <v>5161000</v>
      </c>
      <c r="O36" s="206">
        <v>2661000</v>
      </c>
      <c r="P36" s="253">
        <f>2661000-2500000</f>
        <v>161000</v>
      </c>
      <c r="Q36" s="206">
        <f>2661000-50000-1000000-361871</f>
        <v>1249129</v>
      </c>
      <c r="R36" s="205">
        <f>2000000-8900-133400-58401-99000-900000-162170-638129</f>
        <v>0</v>
      </c>
      <c r="S36" s="206"/>
      <c r="T36" s="206"/>
      <c r="U36" s="39">
        <f t="shared" si="2"/>
        <v>18363871</v>
      </c>
      <c r="V36" s="40">
        <f>300527+592033.84+54109.26+388580.63+477436.8+212394.04+1150849+411488.86+855030+1167520+531240+240013.87+1218420+987176.71+486100+1273880.73+341413.87+1268359.51+1105615.54+629088.11+289050.88+412028.71</f>
        <v>14392357.360000001</v>
      </c>
      <c r="W36" s="40">
        <f>300527+592033.84+54109.26+388580.63+477436.8+212394.04+1150849+411488.86+855030+1167520+531240+240013.87+1218420+987176.71+486100+1273880.73+341413.87+1268359.51+1105615.54+629088.11+289050.88+412028.71-803558.04</f>
        <v>13588799.32</v>
      </c>
      <c r="X36" s="41">
        <f t="shared" si="18"/>
        <v>-803558.04000000097</v>
      </c>
      <c r="Y36" s="40">
        <f>300527+54109.26+592033.84+388580.63+477436.8+212394.04+1150849+411488.86+855030+1167520+531240+240013.87+987176.71+486100+1218420+1273880.73+341413.87+1268359.51+1105615.54+629088.11+289050.88+412028.71</f>
        <v>14392357.360000001</v>
      </c>
      <c r="Z36" s="41">
        <f t="shared" si="19"/>
        <v>0</v>
      </c>
      <c r="AA36" s="42">
        <f t="shared" si="20"/>
        <v>-3971513.6399999987</v>
      </c>
      <c r="AB36" s="258"/>
      <c r="AC36" s="282" t="e">
        <f>Y36-#REF!</f>
        <v>#REF!</v>
      </c>
      <c r="AD36" s="282"/>
      <c r="AE36" s="103" t="e">
        <f>Y36-#REF!</f>
        <v>#REF!</v>
      </c>
      <c r="AF36" s="103">
        <f>AA36-Z36</f>
        <v>-3971513.6399999987</v>
      </c>
    </row>
    <row r="37" spans="1:32" ht="26.25" thickBot="1" x14ac:dyDescent="0.3">
      <c r="E37" s="44"/>
      <c r="F37" s="46" t="s">
        <v>49</v>
      </c>
      <c r="G37" s="47">
        <v>2610</v>
      </c>
      <c r="H37" s="37">
        <f t="shared" si="1"/>
        <v>3470000</v>
      </c>
      <c r="I37" s="205">
        <v>1500000</v>
      </c>
      <c r="J37" s="205">
        <v>1000000</v>
      </c>
      <c r="K37" s="205">
        <f>970000-450000-156867</f>
        <v>363133</v>
      </c>
      <c r="L37" s="205"/>
      <c r="M37" s="205"/>
      <c r="N37" s="206"/>
      <c r="O37" s="206"/>
      <c r="P37" s="206"/>
      <c r="Q37" s="206"/>
      <c r="R37" s="206"/>
      <c r="S37" s="206">
        <f>106867</f>
        <v>106867</v>
      </c>
      <c r="T37" s="206">
        <f>450000+50000</f>
        <v>500000</v>
      </c>
      <c r="U37" s="39">
        <f t="shared" si="2"/>
        <v>2863133</v>
      </c>
      <c r="V37" s="40">
        <f>305866.93+532639.13+225890.72+439879.48+491697.83+229204+99120+15595.2+570766.68</f>
        <v>2910659.97</v>
      </c>
      <c r="W37" s="40">
        <f>305866.93+532639.13+225890.72+439879.48+491697.83+229204+99120+15595.2+570766.68</f>
        <v>2910659.97</v>
      </c>
      <c r="X37" s="41">
        <f t="shared" si="18"/>
        <v>0</v>
      </c>
      <c r="Y37" s="40">
        <f>305866.93+532639.13+225890.72+439879.48+491697.83+12264+216940+99120+15595.2+570766.68</f>
        <v>2910659.97</v>
      </c>
      <c r="Z37" s="41">
        <f t="shared" si="19"/>
        <v>0</v>
      </c>
      <c r="AA37" s="42">
        <f t="shared" si="20"/>
        <v>47526.970000000205</v>
      </c>
      <c r="AB37" s="258"/>
      <c r="AC37" s="258" t="e">
        <f>Y37-#REF!</f>
        <v>#REF!</v>
      </c>
      <c r="AD37" s="258"/>
      <c r="AE37" s="103" t="e">
        <f>Y37-#REF!</f>
        <v>#REF!</v>
      </c>
      <c r="AF37" s="103"/>
    </row>
    <row r="38" spans="1:32" ht="26.25" thickBot="1" x14ac:dyDescent="0.3">
      <c r="E38" s="44"/>
      <c r="F38" s="46" t="s">
        <v>50</v>
      </c>
      <c r="G38" s="47">
        <v>2610</v>
      </c>
      <c r="H38" s="37">
        <f t="shared" si="1"/>
        <v>600000</v>
      </c>
      <c r="I38" s="205"/>
      <c r="J38" s="205"/>
      <c r="K38" s="205"/>
      <c r="L38" s="205">
        <v>245000</v>
      </c>
      <c r="M38" s="205">
        <v>105000</v>
      </c>
      <c r="N38" s="206"/>
      <c r="O38" s="206"/>
      <c r="P38" s="206"/>
      <c r="Q38" s="206"/>
      <c r="R38" s="206"/>
      <c r="S38" s="206"/>
      <c r="T38" s="206">
        <v>250000</v>
      </c>
      <c r="U38" s="39">
        <f t="shared" si="2"/>
        <v>350000</v>
      </c>
      <c r="V38" s="40">
        <f>43771+39772</f>
        <v>83543</v>
      </c>
      <c r="W38" s="40">
        <f>43771+39772</f>
        <v>83543</v>
      </c>
      <c r="X38" s="41">
        <f t="shared" si="18"/>
        <v>0</v>
      </c>
      <c r="Y38" s="40">
        <f>43771+39772</f>
        <v>83543</v>
      </c>
      <c r="Z38" s="41">
        <f t="shared" si="19"/>
        <v>0</v>
      </c>
      <c r="AA38" s="42">
        <f t="shared" si="20"/>
        <v>-266457</v>
      </c>
      <c r="AB38" s="258"/>
      <c r="AC38" s="258"/>
      <c r="AD38" s="258"/>
      <c r="AE38" s="103" t="e">
        <f>Y38-#REF!</f>
        <v>#REF!</v>
      </c>
    </row>
    <row r="39" spans="1:32" ht="39" thickBot="1" x14ac:dyDescent="0.3">
      <c r="E39" s="285">
        <f>E34+1</f>
        <v>20</v>
      </c>
      <c r="F39" s="114" t="s">
        <v>51</v>
      </c>
      <c r="G39" s="115">
        <v>2610</v>
      </c>
      <c r="H39" s="116">
        <f t="shared" ref="H39:Z39" si="21">SUM(H40+H41)</f>
        <v>5300000</v>
      </c>
      <c r="I39" s="207">
        <f>I40+I41</f>
        <v>300000</v>
      </c>
      <c r="J39" s="207">
        <f t="shared" ref="J39:T39" si="22">J40+J41</f>
        <v>300000</v>
      </c>
      <c r="K39" s="207">
        <f t="shared" si="22"/>
        <v>300000</v>
      </c>
      <c r="L39" s="207">
        <f t="shared" si="22"/>
        <v>515000</v>
      </c>
      <c r="M39" s="207">
        <f t="shared" si="22"/>
        <v>510000</v>
      </c>
      <c r="N39" s="207">
        <f t="shared" si="22"/>
        <v>505000</v>
      </c>
      <c r="O39" s="207">
        <f t="shared" si="22"/>
        <v>490000</v>
      </c>
      <c r="P39" s="207">
        <f t="shared" si="22"/>
        <v>490000</v>
      </c>
      <c r="Q39" s="207">
        <f t="shared" si="22"/>
        <v>490000</v>
      </c>
      <c r="R39" s="207">
        <f t="shared" si="22"/>
        <v>480000</v>
      </c>
      <c r="S39" s="207">
        <f t="shared" si="22"/>
        <v>480000</v>
      </c>
      <c r="T39" s="207">
        <f t="shared" si="22"/>
        <v>440000</v>
      </c>
      <c r="U39" s="116">
        <f t="shared" si="21"/>
        <v>2920000</v>
      </c>
      <c r="V39" s="116">
        <f t="shared" si="21"/>
        <v>2013639.7199999997</v>
      </c>
      <c r="W39" s="116">
        <f t="shared" si="21"/>
        <v>2013639.7199999997</v>
      </c>
      <c r="X39" s="116">
        <f t="shared" si="21"/>
        <v>0</v>
      </c>
      <c r="Y39" s="116">
        <f t="shared" si="21"/>
        <v>2088504.7199999997</v>
      </c>
      <c r="Z39" s="116">
        <f t="shared" si="21"/>
        <v>74865</v>
      </c>
      <c r="AA39" s="116">
        <f>SUM(AA40+AA41)</f>
        <v>-831495.28000000026</v>
      </c>
      <c r="AB39" s="218"/>
      <c r="AC39" s="204">
        <f>2013639.72</f>
        <v>2013639.72</v>
      </c>
      <c r="AD39" s="317"/>
      <c r="AE39" s="103">
        <f>V39-AC39</f>
        <v>0</v>
      </c>
      <c r="AF39">
        <f>6734485.34-5506826.37</f>
        <v>1227658.9699999997</v>
      </c>
    </row>
    <row r="40" spans="1:32" ht="16.5" thickBot="1" x14ac:dyDescent="0.3">
      <c r="E40" s="44"/>
      <c r="F40" s="46" t="s">
        <v>52</v>
      </c>
      <c r="G40" s="47">
        <v>2610</v>
      </c>
      <c r="H40" s="37">
        <f t="shared" si="1"/>
        <v>5000000</v>
      </c>
      <c r="I40" s="206">
        <v>300000</v>
      </c>
      <c r="J40" s="206">
        <v>300000</v>
      </c>
      <c r="K40" s="206">
        <v>300000</v>
      </c>
      <c r="L40" s="206">
        <v>450000</v>
      </c>
      <c r="M40" s="206">
        <v>450000</v>
      </c>
      <c r="N40" s="206">
        <v>450000</v>
      </c>
      <c r="O40" s="206">
        <v>450000</v>
      </c>
      <c r="P40" s="206">
        <v>450000</v>
      </c>
      <c r="Q40" s="206">
        <v>450000</v>
      </c>
      <c r="R40" s="206">
        <v>480000</v>
      </c>
      <c r="S40" s="206">
        <v>480000</v>
      </c>
      <c r="T40" s="206">
        <v>440000</v>
      </c>
      <c r="U40" s="39">
        <f t="shared" si="2"/>
        <v>2700000</v>
      </c>
      <c r="V40" s="117">
        <f>79991.89+105964.72+114888.1+82358+35741.6+146679.6+41733.7+166400.75+221816.47-29128.23+70767+154981.62+190977.1+51649.51+199936.89+57711.31+201104.71</f>
        <v>1893574.7399999998</v>
      </c>
      <c r="W40" s="117">
        <f>79991.89+105964.72+114888.1+82358+35741.6+146679.6+41733.7+166400.75+221816.47-29128.23+70767+154981.62+190977.1+51649.51+199936.89+57711.31+201104.71</f>
        <v>1893574.7399999998</v>
      </c>
      <c r="X40" s="41">
        <f t="shared" ref="X40:X45" si="23">W40-V40</f>
        <v>0</v>
      </c>
      <c r="Y40" s="105">
        <f>79991.89+105964.72+114888.1+82358+35741.6+146679.6+41733.7+166400.75+221816.47-29128.23+70767+154981.62+190977.1+51649.51+199936.89+57711.31+201104.71+74865</f>
        <v>1968439.7399999998</v>
      </c>
      <c r="Z40" s="41">
        <f t="shared" ref="Z40:Z45" si="24">Y40-V40</f>
        <v>74865</v>
      </c>
      <c r="AA40" s="42">
        <f t="shared" ref="AA40:AA41" si="25">Y40-U40</f>
        <v>-731560.26000000024</v>
      </c>
      <c r="AB40" s="258"/>
      <c r="AC40" s="258" t="e">
        <f>Y40-#REF!</f>
        <v>#REF!</v>
      </c>
      <c r="AD40" s="258"/>
      <c r="AE40" s="103">
        <v>1923359.52</v>
      </c>
      <c r="AF40" s="103">
        <f>Y40-AE40</f>
        <v>45080.219999999739</v>
      </c>
    </row>
    <row r="41" spans="1:32" ht="26.25" thickBot="1" x14ac:dyDescent="0.3">
      <c r="E41" s="44"/>
      <c r="F41" s="46" t="s">
        <v>372</v>
      </c>
      <c r="G41" s="47">
        <v>2610</v>
      </c>
      <c r="H41" s="37">
        <f t="shared" si="1"/>
        <v>300000</v>
      </c>
      <c r="I41" s="206"/>
      <c r="J41" s="206"/>
      <c r="K41" s="206"/>
      <c r="L41" s="206">
        <v>65000</v>
      </c>
      <c r="M41" s="206">
        <v>60000</v>
      </c>
      <c r="N41" s="206">
        <v>55000</v>
      </c>
      <c r="O41" s="206">
        <v>40000</v>
      </c>
      <c r="P41" s="206">
        <v>40000</v>
      </c>
      <c r="Q41" s="206">
        <v>40000</v>
      </c>
      <c r="R41" s="206"/>
      <c r="S41" s="206"/>
      <c r="T41" s="206"/>
      <c r="U41" s="39">
        <f t="shared" si="2"/>
        <v>220000</v>
      </c>
      <c r="V41" s="117">
        <f>12924.66+29128.23+13335.6+41465.82+6141.39+1228.28+21009-5168</f>
        <v>120064.98</v>
      </c>
      <c r="W41" s="117">
        <f>12924.66+29128.23+13335.6+41465.82+6141.39+1228.28+21009-5168</f>
        <v>120064.98</v>
      </c>
      <c r="X41" s="41">
        <f t="shared" si="23"/>
        <v>0</v>
      </c>
      <c r="Y41" s="117">
        <f>12924.66+29128.23+13335.6+41465.82+6141.39+1228.28+21009-5168</f>
        <v>120064.98</v>
      </c>
      <c r="Z41" s="41">
        <f t="shared" si="24"/>
        <v>0</v>
      </c>
      <c r="AA41" s="42">
        <f t="shared" si="25"/>
        <v>-99935.02</v>
      </c>
      <c r="AB41" s="258"/>
      <c r="AC41" s="258" t="e">
        <f>Y41-#REF!</f>
        <v>#REF!</v>
      </c>
      <c r="AD41" s="258"/>
      <c r="AE41">
        <v>188926.49</v>
      </c>
      <c r="AF41" s="103">
        <f>Y41-AE41</f>
        <v>-68861.509999999995</v>
      </c>
    </row>
    <row r="42" spans="1:32" ht="16.5" thickBot="1" x14ac:dyDescent="0.3">
      <c r="A42" t="s">
        <v>361</v>
      </c>
      <c r="B42" t="s">
        <v>362</v>
      </c>
      <c r="C42" t="s">
        <v>206</v>
      </c>
      <c r="D42" t="s">
        <v>360</v>
      </c>
      <c r="E42" s="286">
        <f>E39+1</f>
        <v>21</v>
      </c>
      <c r="F42" s="48" t="s">
        <v>53</v>
      </c>
      <c r="G42" s="44">
        <v>2273</v>
      </c>
      <c r="H42" s="37">
        <f t="shared" si="1"/>
        <v>9000000</v>
      </c>
      <c r="I42" s="205">
        <v>700000</v>
      </c>
      <c r="J42" s="205">
        <v>800000</v>
      </c>
      <c r="K42" s="205">
        <v>1100000</v>
      </c>
      <c r="L42" s="205">
        <v>700000</v>
      </c>
      <c r="M42" s="276">
        <f>600000-400000</f>
        <v>200000</v>
      </c>
      <c r="N42" s="276"/>
      <c r="O42" s="276">
        <f>600000+400000</f>
        <v>1000000</v>
      </c>
      <c r="P42" s="276">
        <f>600000+100000</f>
        <v>700000</v>
      </c>
      <c r="Q42" s="205">
        <v>600000</v>
      </c>
      <c r="R42" s="205">
        <v>800000</v>
      </c>
      <c r="S42" s="276">
        <f>900000+500000</f>
        <v>1400000</v>
      </c>
      <c r="T42" s="205">
        <v>1000000</v>
      </c>
      <c r="U42" s="39">
        <f t="shared" si="2"/>
        <v>4500000</v>
      </c>
      <c r="V42" s="40">
        <f>2871.49+5917.91+268465.15+44201.3+7857.08+54783.91+129858.6+118993.04+204241.55+489342.79+1533437.7+260.2+69483.52+3212.96+899.18+32432.94+79846.8</f>
        <v>3046106.12</v>
      </c>
      <c r="W42" s="40">
        <f>2871.49+5917.91+268465.15+44201.3+7857.08+54783.91+129858.6+118993.04+204241.55+489342.79+1533437.7+260.2+69483.52+3212.96+899.18+32432.94+79846.8</f>
        <v>3046106.12</v>
      </c>
      <c r="X42" s="41">
        <f t="shared" si="23"/>
        <v>0</v>
      </c>
      <c r="Y42" s="40">
        <f>2871.49+5917.91+268465.15+44201.3+7857.08+54783.91+129858.6+118993.04+203213.92+1027.63+24.7+497361.94-8043.85+1533437.7+260.2+69483.52+3212.96+899.18+32432.94+79846.8+32978.01</f>
        <v>3079084.13</v>
      </c>
      <c r="Z42" s="41">
        <f t="shared" si="24"/>
        <v>32978.009999999776</v>
      </c>
      <c r="AA42" s="42">
        <f>Y42-U42</f>
        <v>-1420915.87</v>
      </c>
      <c r="AB42" s="258"/>
      <c r="AC42" s="258" t="e">
        <f>AA42-#REF!</f>
        <v>#REF!</v>
      </c>
      <c r="AD42" s="258"/>
      <c r="AF42" s="103">
        <f>AF41+AF40</f>
        <v>-23781.290000000256</v>
      </c>
    </row>
    <row r="43" spans="1:32" ht="16.5" thickBot="1" x14ac:dyDescent="0.3">
      <c r="E43" s="286">
        <f>E42+1</f>
        <v>22</v>
      </c>
      <c r="F43" s="48" t="s">
        <v>54</v>
      </c>
      <c r="G43" s="44">
        <v>2800</v>
      </c>
      <c r="H43" s="37">
        <f t="shared" si="1"/>
        <v>20000</v>
      </c>
      <c r="I43" s="205"/>
      <c r="J43" s="205"/>
      <c r="K43" s="205"/>
      <c r="L43" s="205"/>
      <c r="M43" s="205"/>
      <c r="N43" s="205">
        <v>20000</v>
      </c>
      <c r="O43" s="205"/>
      <c r="P43" s="205"/>
      <c r="Q43" s="205"/>
      <c r="R43" s="205"/>
      <c r="S43" s="205"/>
      <c r="T43" s="205"/>
      <c r="U43" s="39">
        <f t="shared" si="2"/>
        <v>20000</v>
      </c>
      <c r="V43" s="40"/>
      <c r="W43" s="40"/>
      <c r="X43" s="41">
        <f t="shared" si="23"/>
        <v>0</v>
      </c>
      <c r="Y43" s="40"/>
      <c r="Z43" s="41">
        <f t="shared" si="24"/>
        <v>0</v>
      </c>
      <c r="AA43" s="42">
        <f t="shared" ref="AA43:AA45" si="26">Y43-U43</f>
        <v>-20000</v>
      </c>
      <c r="AB43" s="258"/>
      <c r="AC43" s="258">
        <v>20000</v>
      </c>
      <c r="AD43" s="258"/>
    </row>
    <row r="44" spans="1:32" ht="16.5" thickBot="1" x14ac:dyDescent="0.3">
      <c r="E44" s="286">
        <f t="shared" ref="E44:E45" si="27">E43+1</f>
        <v>23</v>
      </c>
      <c r="F44" s="48" t="s">
        <v>55</v>
      </c>
      <c r="G44" s="44">
        <v>2800</v>
      </c>
      <c r="H44" s="37">
        <f t="shared" si="1"/>
        <v>12376</v>
      </c>
      <c r="I44" s="205"/>
      <c r="J44" s="205">
        <f>200000-187624-8454</f>
        <v>3922</v>
      </c>
      <c r="K44" s="205"/>
      <c r="L44" s="205"/>
      <c r="M44" s="205"/>
      <c r="N44" s="205"/>
      <c r="O44" s="205"/>
      <c r="P44" s="205"/>
      <c r="Q44" s="205"/>
      <c r="R44" s="205"/>
      <c r="S44" s="205">
        <f>8454</f>
        <v>8454</v>
      </c>
      <c r="T44" s="205"/>
      <c r="U44" s="39">
        <f t="shared" si="2"/>
        <v>3922</v>
      </c>
      <c r="V44" s="40">
        <f t="shared" ref="V44:W44" si="28">3921.26</f>
        <v>3921.26</v>
      </c>
      <c r="W44" s="40">
        <f t="shared" si="28"/>
        <v>3921.26</v>
      </c>
      <c r="X44" s="41">
        <f t="shared" si="23"/>
        <v>0</v>
      </c>
      <c r="Y44" s="40">
        <f>3921.26</f>
        <v>3921.26</v>
      </c>
      <c r="Z44" s="41">
        <f t="shared" si="24"/>
        <v>0</v>
      </c>
      <c r="AA44" s="42">
        <f t="shared" si="26"/>
        <v>-0.73999999999978172</v>
      </c>
      <c r="AB44" s="258"/>
      <c r="AC44" s="258"/>
      <c r="AD44" s="258"/>
    </row>
    <row r="45" spans="1:32" ht="26.25" thickBot="1" x14ac:dyDescent="0.3">
      <c r="E45" s="286">
        <f t="shared" si="27"/>
        <v>24</v>
      </c>
      <c r="F45" s="45" t="s">
        <v>56</v>
      </c>
      <c r="G45" s="44">
        <v>2800</v>
      </c>
      <c r="H45" s="37">
        <f t="shared" si="1"/>
        <v>90000</v>
      </c>
      <c r="I45" s="205">
        <v>20000</v>
      </c>
      <c r="J45" s="205">
        <f>20000+8454</f>
        <v>28454</v>
      </c>
      <c r="K45" s="205">
        <v>30000</v>
      </c>
      <c r="L45" s="205"/>
      <c r="M45" s="205">
        <f>20000-8454</f>
        <v>11546</v>
      </c>
      <c r="N45" s="205"/>
      <c r="O45" s="205"/>
      <c r="P45" s="205"/>
      <c r="Q45" s="205"/>
      <c r="R45" s="205"/>
      <c r="S45" s="205"/>
      <c r="T45" s="205"/>
      <c r="U45" s="39">
        <f t="shared" si="2"/>
        <v>90000</v>
      </c>
      <c r="V45" s="40">
        <f>11412.6+11412.6+11412.6+11412.6</f>
        <v>45650.400000000001</v>
      </c>
      <c r="W45" s="40">
        <f>11412.6+11412.6+11412.6+11412.6</f>
        <v>45650.400000000001</v>
      </c>
      <c r="X45" s="41">
        <f t="shared" si="23"/>
        <v>0</v>
      </c>
      <c r="Y45" s="40">
        <f>11412.6+11412.6+11412.6*2</f>
        <v>45650.400000000001</v>
      </c>
      <c r="Z45" s="41">
        <f t="shared" si="24"/>
        <v>0</v>
      </c>
      <c r="AA45" s="42">
        <f t="shared" si="26"/>
        <v>-44349.599999999999</v>
      </c>
      <c r="AB45" s="258"/>
      <c r="AC45" s="258">
        <v>44349</v>
      </c>
      <c r="AD45" s="258"/>
      <c r="AE45">
        <f>722627.2+507520.19+222113.71+773711.6</f>
        <v>2225972.6999999997</v>
      </c>
      <c r="AF45" s="103"/>
    </row>
    <row r="46" spans="1:32" ht="16.5" thickBot="1" x14ac:dyDescent="0.3">
      <c r="E46" s="44"/>
      <c r="F46" s="49" t="s">
        <v>57</v>
      </c>
      <c r="G46" s="44"/>
      <c r="H46" s="38">
        <f t="shared" ref="H46:X46" si="29">SUM(H6:H21)</f>
        <v>9037003</v>
      </c>
      <c r="I46" s="38">
        <f>SUM(I6:I21)+I29</f>
        <v>209000</v>
      </c>
      <c r="J46" s="38">
        <f t="shared" ref="J46:T46" si="30">SUM(J6:J21)+J29</f>
        <v>291624</v>
      </c>
      <c r="K46" s="38">
        <f t="shared" si="30"/>
        <v>141702</v>
      </c>
      <c r="L46" s="38">
        <f t="shared" si="30"/>
        <v>36752</v>
      </c>
      <c r="M46" s="38">
        <f t="shared" si="30"/>
        <v>864146</v>
      </c>
      <c r="N46" s="38">
        <f t="shared" si="30"/>
        <v>1659750</v>
      </c>
      <c r="O46" s="38">
        <f t="shared" si="30"/>
        <v>664150</v>
      </c>
      <c r="P46" s="38">
        <f t="shared" si="30"/>
        <v>329150</v>
      </c>
      <c r="Q46" s="38">
        <f t="shared" si="30"/>
        <v>273400</v>
      </c>
      <c r="R46" s="38">
        <f t="shared" si="30"/>
        <v>1615271</v>
      </c>
      <c r="S46" s="38">
        <f t="shared" si="30"/>
        <v>1623679</v>
      </c>
      <c r="T46" s="38">
        <f t="shared" si="30"/>
        <v>1334000</v>
      </c>
      <c r="U46" s="38">
        <f t="shared" si="29"/>
        <v>3861503</v>
      </c>
      <c r="V46" s="38">
        <f t="shared" si="29"/>
        <v>1000554.39</v>
      </c>
      <c r="W46" s="38">
        <f t="shared" si="29"/>
        <v>1000554.39</v>
      </c>
      <c r="X46" s="38">
        <f t="shared" si="29"/>
        <v>0</v>
      </c>
      <c r="Y46" s="38">
        <f>SUM(Y6:Y21)</f>
        <v>1636633.4499999997</v>
      </c>
      <c r="Z46" s="38">
        <f>SUM(Z6:Z21)</f>
        <v>636079.05999999994</v>
      </c>
      <c r="AA46" s="38">
        <f>SUM(AA6:AA21)</f>
        <v>-2224869.5499999998</v>
      </c>
      <c r="AB46" s="259"/>
      <c r="AC46" s="259">
        <f>AC45+AC43+AC9+AC7+AC6</f>
        <v>-135005.98000000004</v>
      </c>
      <c r="AD46" s="259"/>
      <c r="AE46" s="103">
        <f>AA46-AC22</f>
        <v>-884820.19</v>
      </c>
    </row>
    <row r="47" spans="1:32" ht="16.5" thickBot="1" x14ac:dyDescent="0.3">
      <c r="E47" s="44"/>
      <c r="F47" s="49" t="s">
        <v>58</v>
      </c>
      <c r="G47" s="44"/>
      <c r="H47" s="38">
        <f t="shared" ref="H47:U47" si="31">H42</f>
        <v>9000000</v>
      </c>
      <c r="I47" s="38">
        <f t="shared" si="31"/>
        <v>700000</v>
      </c>
      <c r="J47" s="38">
        <f t="shared" si="31"/>
        <v>800000</v>
      </c>
      <c r="K47" s="38">
        <f t="shared" si="31"/>
        <v>1100000</v>
      </c>
      <c r="L47" s="38">
        <f t="shared" si="31"/>
        <v>700000</v>
      </c>
      <c r="M47" s="38">
        <f t="shared" si="31"/>
        <v>200000</v>
      </c>
      <c r="N47" s="38">
        <f t="shared" si="31"/>
        <v>0</v>
      </c>
      <c r="O47" s="38">
        <f t="shared" si="31"/>
        <v>1000000</v>
      </c>
      <c r="P47" s="38">
        <f t="shared" si="31"/>
        <v>700000</v>
      </c>
      <c r="Q47" s="38">
        <f t="shared" si="31"/>
        <v>600000</v>
      </c>
      <c r="R47" s="38">
        <f t="shared" si="31"/>
        <v>800000</v>
      </c>
      <c r="S47" s="38">
        <f t="shared" si="31"/>
        <v>1400000</v>
      </c>
      <c r="T47" s="223">
        <f t="shared" si="31"/>
        <v>1000000</v>
      </c>
      <c r="U47" s="38">
        <f t="shared" si="31"/>
        <v>4500000</v>
      </c>
      <c r="V47" s="38">
        <f>V42</f>
        <v>3046106.12</v>
      </c>
      <c r="W47" s="38">
        <f t="shared" ref="W47:AA47" si="32">W42</f>
        <v>3046106.12</v>
      </c>
      <c r="X47" s="38">
        <f t="shared" si="32"/>
        <v>0</v>
      </c>
      <c r="Y47" s="38">
        <f t="shared" si="32"/>
        <v>3079084.13</v>
      </c>
      <c r="Z47" s="38">
        <f t="shared" si="32"/>
        <v>32978.009999999776</v>
      </c>
      <c r="AA47" s="38">
        <f t="shared" si="32"/>
        <v>-1420915.87</v>
      </c>
      <c r="AB47" s="259"/>
      <c r="AC47" s="259"/>
      <c r="AD47" s="259"/>
      <c r="AE47" s="103"/>
    </row>
    <row r="48" spans="1:32" ht="16.5" thickBot="1" x14ac:dyDescent="0.3">
      <c r="E48" s="44"/>
      <c r="F48" s="49" t="s">
        <v>59</v>
      </c>
      <c r="G48" s="44"/>
      <c r="H48" s="38">
        <f t="shared" ref="H48:U48" si="33">H39+H34+H30</f>
        <v>54200000</v>
      </c>
      <c r="I48" s="38">
        <f t="shared" si="33"/>
        <v>3510000</v>
      </c>
      <c r="J48" s="38">
        <f t="shared" si="33"/>
        <v>3210600</v>
      </c>
      <c r="K48" s="38">
        <f t="shared" si="33"/>
        <v>3717898</v>
      </c>
      <c r="L48" s="38">
        <f t="shared" si="33"/>
        <v>6741848</v>
      </c>
      <c r="M48" s="38">
        <f t="shared" si="33"/>
        <v>8392058</v>
      </c>
      <c r="N48" s="38">
        <f t="shared" si="33"/>
        <v>8866600</v>
      </c>
      <c r="O48" s="38">
        <f t="shared" si="33"/>
        <v>5386600</v>
      </c>
      <c r="P48" s="38">
        <f t="shared" si="33"/>
        <v>2881600</v>
      </c>
      <c r="Q48" s="38">
        <f t="shared" si="33"/>
        <v>4206600</v>
      </c>
      <c r="R48" s="38">
        <f t="shared" si="33"/>
        <v>2303729</v>
      </c>
      <c r="S48" s="38">
        <f t="shared" si="33"/>
        <v>2622467</v>
      </c>
      <c r="T48" s="223">
        <f t="shared" si="33"/>
        <v>2360000</v>
      </c>
      <c r="U48" s="38">
        <f t="shared" si="33"/>
        <v>39825604</v>
      </c>
      <c r="V48" s="38">
        <f>V39+V34+V30</f>
        <v>30858266.309999999</v>
      </c>
      <c r="W48" s="38">
        <f t="shared" ref="W48:AA48" si="34">W39+W34+W30</f>
        <v>30047138.719999995</v>
      </c>
      <c r="X48" s="38">
        <f t="shared" si="34"/>
        <v>-811127.59000000078</v>
      </c>
      <c r="Y48" s="38">
        <f t="shared" si="34"/>
        <v>31569512.759999998</v>
      </c>
      <c r="Z48" s="38">
        <f t="shared" si="34"/>
        <v>711246.45000000065</v>
      </c>
      <c r="AA48" s="38">
        <f t="shared" si="34"/>
        <v>-8256091.2399999984</v>
      </c>
      <c r="AB48" s="259"/>
      <c r="AC48" s="259"/>
      <c r="AD48" s="259"/>
      <c r="AE48">
        <v>2225872.7000000002</v>
      </c>
    </row>
    <row r="49" spans="1:32" ht="16.5" thickBot="1" x14ac:dyDescent="0.3">
      <c r="E49" s="44"/>
      <c r="F49" s="49" t="s">
        <v>60</v>
      </c>
      <c r="G49" s="44"/>
      <c r="H49" s="38">
        <f>H43+H44+H45</f>
        <v>122376</v>
      </c>
      <c r="I49" s="38">
        <f t="shared" ref="I49:U49" si="35">I43+I44+I45</f>
        <v>20000</v>
      </c>
      <c r="J49" s="38">
        <f t="shared" si="35"/>
        <v>32376</v>
      </c>
      <c r="K49" s="38">
        <f t="shared" si="35"/>
        <v>30000</v>
      </c>
      <c r="L49" s="38">
        <f t="shared" si="35"/>
        <v>0</v>
      </c>
      <c r="M49" s="38">
        <f t="shared" si="35"/>
        <v>11546</v>
      </c>
      <c r="N49" s="38">
        <f t="shared" si="35"/>
        <v>20000</v>
      </c>
      <c r="O49" s="38">
        <f t="shared" si="35"/>
        <v>0</v>
      </c>
      <c r="P49" s="38">
        <f t="shared" si="35"/>
        <v>0</v>
      </c>
      <c r="Q49" s="38">
        <f t="shared" si="35"/>
        <v>0</v>
      </c>
      <c r="R49" s="38">
        <f t="shared" si="35"/>
        <v>0</v>
      </c>
      <c r="S49" s="38">
        <f t="shared" si="35"/>
        <v>8454</v>
      </c>
      <c r="T49" s="223">
        <f t="shared" si="35"/>
        <v>0</v>
      </c>
      <c r="U49" s="38">
        <f t="shared" si="35"/>
        <v>113922</v>
      </c>
      <c r="V49" s="38">
        <f>V43+V44+V45</f>
        <v>49571.66</v>
      </c>
      <c r="W49" s="38">
        <f t="shared" ref="W49:AA49" si="36">W43+W44+W45</f>
        <v>49571.66</v>
      </c>
      <c r="X49" s="38">
        <f t="shared" si="36"/>
        <v>0</v>
      </c>
      <c r="Y49" s="38">
        <f t="shared" si="36"/>
        <v>49571.66</v>
      </c>
      <c r="Z49" s="38">
        <f t="shared" si="36"/>
        <v>0</v>
      </c>
      <c r="AA49" s="38">
        <f t="shared" si="36"/>
        <v>-64350.34</v>
      </c>
      <c r="AB49" s="203"/>
      <c r="AC49" s="203"/>
      <c r="AD49" s="203"/>
      <c r="AE49" s="203">
        <f>AE48-Z48</f>
        <v>1514626.2499999995</v>
      </c>
    </row>
    <row r="50" spans="1:32" ht="15.75" thickBot="1" x14ac:dyDescent="0.3">
      <c r="E50" s="47"/>
      <c r="F50" s="79" t="s">
        <v>203</v>
      </c>
      <c r="G50" s="79"/>
      <c r="H50" s="79">
        <f>SUM(I50:T50)</f>
        <v>72365000</v>
      </c>
      <c r="I50" s="79">
        <f>SUM(I46:I49)</f>
        <v>4439000</v>
      </c>
      <c r="J50" s="79">
        <f t="shared" ref="J50:AA50" si="37">SUM(J46:J49)</f>
        <v>4334600</v>
      </c>
      <c r="K50" s="79">
        <f t="shared" si="37"/>
        <v>4989600</v>
      </c>
      <c r="L50" s="79">
        <f t="shared" si="37"/>
        <v>7478600</v>
      </c>
      <c r="M50" s="79">
        <f t="shared" si="37"/>
        <v>9467750</v>
      </c>
      <c r="N50" s="79">
        <f t="shared" si="37"/>
        <v>10546350</v>
      </c>
      <c r="O50" s="79">
        <f t="shared" si="37"/>
        <v>7050750</v>
      </c>
      <c r="P50" s="79">
        <f t="shared" si="37"/>
        <v>3910750</v>
      </c>
      <c r="Q50" s="79">
        <f t="shared" si="37"/>
        <v>5080000</v>
      </c>
      <c r="R50" s="79">
        <f t="shared" si="37"/>
        <v>4719000</v>
      </c>
      <c r="S50" s="79">
        <f t="shared" si="37"/>
        <v>5654600</v>
      </c>
      <c r="T50" s="224">
        <f t="shared" si="37"/>
        <v>4694000</v>
      </c>
      <c r="U50" s="89">
        <f>SUM(U46:U49)</f>
        <v>48301029</v>
      </c>
      <c r="V50" s="79">
        <f t="shared" si="37"/>
        <v>34954498.479999997</v>
      </c>
      <c r="W50" s="79">
        <f t="shared" si="37"/>
        <v>34143370.889999993</v>
      </c>
      <c r="X50" s="79">
        <f t="shared" si="37"/>
        <v>-811127.59000000078</v>
      </c>
      <c r="Y50" s="79">
        <f t="shared" si="37"/>
        <v>36334801.999999993</v>
      </c>
      <c r="Z50" s="79">
        <f t="shared" si="37"/>
        <v>1380303.5200000005</v>
      </c>
      <c r="AA50" s="79">
        <f t="shared" si="37"/>
        <v>-11966226.999999998</v>
      </c>
      <c r="AB50" s="260"/>
      <c r="AC50" s="260">
        <f>412028.71+3870.55</f>
        <v>415899.26</v>
      </c>
      <c r="AD50" s="260"/>
      <c r="AE50" s="260">
        <f>X50</f>
        <v>-811127.59000000078</v>
      </c>
      <c r="AF50">
        <v>72365000</v>
      </c>
    </row>
    <row r="51" spans="1:32" ht="25.5" customHeight="1" thickBot="1" x14ac:dyDescent="0.3">
      <c r="E51" s="491" t="s">
        <v>61</v>
      </c>
      <c r="F51" s="492"/>
      <c r="G51" s="493"/>
      <c r="H51" s="37">
        <f t="shared" si="1"/>
        <v>150000</v>
      </c>
      <c r="I51" s="51">
        <f t="shared" ref="I51:AA51" si="38">I23</f>
        <v>0</v>
      </c>
      <c r="J51" s="51">
        <f t="shared" si="38"/>
        <v>0</v>
      </c>
      <c r="K51" s="51">
        <f t="shared" si="38"/>
        <v>0</v>
      </c>
      <c r="L51" s="51">
        <f t="shared" si="38"/>
        <v>0</v>
      </c>
      <c r="M51" s="51">
        <f t="shared" si="38"/>
        <v>150000</v>
      </c>
      <c r="N51" s="51">
        <f t="shared" si="38"/>
        <v>0</v>
      </c>
      <c r="O51" s="51">
        <f t="shared" si="38"/>
        <v>0</v>
      </c>
      <c r="P51" s="51">
        <f t="shared" si="38"/>
        <v>0</v>
      </c>
      <c r="Q51" s="51">
        <f t="shared" si="38"/>
        <v>0</v>
      </c>
      <c r="R51" s="51">
        <f t="shared" si="38"/>
        <v>0</v>
      </c>
      <c r="S51" s="51">
        <f t="shared" si="38"/>
        <v>0</v>
      </c>
      <c r="T51" s="225">
        <f t="shared" si="38"/>
        <v>0</v>
      </c>
      <c r="U51" s="51">
        <f t="shared" si="38"/>
        <v>150000</v>
      </c>
      <c r="V51" s="51">
        <f t="shared" si="38"/>
        <v>0</v>
      </c>
      <c r="W51" s="51">
        <f t="shared" si="38"/>
        <v>0</v>
      </c>
      <c r="X51" s="51">
        <f t="shared" si="38"/>
        <v>0</v>
      </c>
      <c r="Y51" s="51">
        <f t="shared" si="38"/>
        <v>0</v>
      </c>
      <c r="Z51" s="51">
        <f t="shared" si="38"/>
        <v>0</v>
      </c>
      <c r="AA51" s="51">
        <f t="shared" si="38"/>
        <v>-150000</v>
      </c>
      <c r="AB51" s="261"/>
      <c r="AC51" s="261">
        <f>V50-AC50</f>
        <v>34538599.219999999</v>
      </c>
      <c r="AD51" s="261"/>
      <c r="AF51">
        <v>70010000</v>
      </c>
    </row>
    <row r="52" spans="1:32" ht="17.25" customHeight="1" thickBot="1" x14ac:dyDescent="0.3">
      <c r="E52" s="494" t="s">
        <v>409</v>
      </c>
      <c r="F52" s="495"/>
      <c r="G52" s="496"/>
      <c r="H52" s="280">
        <f>SUM(I52:T52)</f>
        <v>4000000</v>
      </c>
      <c r="I52" s="281"/>
      <c r="J52" s="281"/>
      <c r="K52" s="281"/>
      <c r="L52" s="281"/>
      <c r="M52" s="281"/>
      <c r="N52" s="281">
        <f>N15+N22+N24+N26+600000+400000+2500000+N13</f>
        <v>4000000</v>
      </c>
      <c r="O52" s="281"/>
      <c r="P52" s="281"/>
      <c r="Q52" s="281"/>
      <c r="R52" s="281"/>
      <c r="S52" s="281"/>
      <c r="T52" s="281"/>
      <c r="U52" s="278"/>
      <c r="V52" s="278"/>
      <c r="W52" s="278"/>
      <c r="X52" s="278"/>
      <c r="Y52" s="279"/>
      <c r="Z52" s="261"/>
      <c r="AA52" s="261"/>
      <c r="AB52" s="261"/>
      <c r="AC52" s="261"/>
      <c r="AD52" s="261"/>
      <c r="AF52">
        <f>AF50-AF51</f>
        <v>2355000</v>
      </c>
    </row>
    <row r="53" spans="1:32" ht="35.25" thickTop="1" thickBot="1" x14ac:dyDescent="0.3">
      <c r="A53" s="3" t="s">
        <v>0</v>
      </c>
      <c r="B53" s="3" t="s">
        <v>1</v>
      </c>
      <c r="C53" s="3" t="s">
        <v>2</v>
      </c>
      <c r="D53" s="4" t="s">
        <v>3</v>
      </c>
      <c r="E53" s="4" t="s">
        <v>4</v>
      </c>
      <c r="F53" s="5" t="s">
        <v>5</v>
      </c>
      <c r="G53" s="6" t="s">
        <v>6</v>
      </c>
      <c r="H53" s="7" t="s">
        <v>155</v>
      </c>
      <c r="I53" s="8" t="s">
        <v>7</v>
      </c>
      <c r="J53" s="9" t="s">
        <v>8</v>
      </c>
      <c r="K53" s="9" t="s">
        <v>9</v>
      </c>
      <c r="L53" s="8" t="s">
        <v>10</v>
      </c>
      <c r="M53" s="8" t="s">
        <v>11</v>
      </c>
      <c r="N53" s="10" t="s">
        <v>12</v>
      </c>
      <c r="O53" s="11" t="s">
        <v>13</v>
      </c>
      <c r="P53" s="12" t="s">
        <v>14</v>
      </c>
      <c r="Q53" s="12" t="s">
        <v>15</v>
      </c>
      <c r="R53" s="13" t="s">
        <v>16</v>
      </c>
      <c r="S53" s="8" t="s">
        <v>17</v>
      </c>
      <c r="T53" s="221" t="s">
        <v>18</v>
      </c>
      <c r="U53" s="7" t="s">
        <v>426</v>
      </c>
      <c r="V53" s="7" t="s">
        <v>19</v>
      </c>
      <c r="W53" s="7" t="s">
        <v>20</v>
      </c>
      <c r="X53" s="7" t="s">
        <v>21</v>
      </c>
      <c r="Y53" s="5" t="s">
        <v>22</v>
      </c>
      <c r="Z53" s="14" t="s">
        <v>23</v>
      </c>
      <c r="AA53" s="14" t="s">
        <v>24</v>
      </c>
      <c r="AB53" s="255"/>
      <c r="AC53" s="255"/>
      <c r="AD53" s="255"/>
    </row>
    <row r="54" spans="1:32" ht="12.75" customHeight="1" thickTop="1" thickBot="1" x14ac:dyDescent="0.3">
      <c r="A54" s="1"/>
      <c r="B54" s="1"/>
      <c r="C54" s="1"/>
      <c r="D54" s="2"/>
      <c r="E54" s="15"/>
      <c r="F54" s="16">
        <v>1</v>
      </c>
      <c r="G54" s="17">
        <v>2</v>
      </c>
      <c r="H54" s="18">
        <v>3</v>
      </c>
      <c r="I54" s="19"/>
      <c r="J54" s="20"/>
      <c r="K54" s="21"/>
      <c r="L54" s="22"/>
      <c r="M54" s="22"/>
      <c r="N54" s="23"/>
      <c r="O54" s="24"/>
      <c r="P54" s="25"/>
      <c r="Q54" s="25"/>
      <c r="R54" s="26"/>
      <c r="S54" s="22"/>
      <c r="T54" s="222"/>
      <c r="U54" s="22">
        <v>4</v>
      </c>
      <c r="V54" s="27">
        <v>5</v>
      </c>
      <c r="W54" s="28">
        <v>6</v>
      </c>
      <c r="X54" s="29">
        <v>7</v>
      </c>
      <c r="Y54" s="30">
        <v>8</v>
      </c>
      <c r="Z54" s="31">
        <v>9</v>
      </c>
      <c r="AA54" s="32">
        <v>10</v>
      </c>
      <c r="AB54" s="256"/>
      <c r="AC54" s="256"/>
      <c r="AD54" s="256"/>
    </row>
    <row r="55" spans="1:32" ht="16.5" thickTop="1" x14ac:dyDescent="0.25">
      <c r="A55" s="1"/>
      <c r="B55" s="1"/>
      <c r="C55" s="1"/>
      <c r="D55" s="2"/>
      <c r="E55" s="497" t="s">
        <v>63</v>
      </c>
      <c r="F55" s="498"/>
      <c r="G55" s="498"/>
      <c r="H55" s="498"/>
      <c r="I55" s="498"/>
      <c r="J55" s="498"/>
      <c r="K55" s="498"/>
      <c r="L55" s="498"/>
      <c r="M55" s="498"/>
      <c r="N55" s="498"/>
      <c r="O55" s="498"/>
      <c r="P55" s="498"/>
      <c r="Q55" s="498"/>
      <c r="R55" s="498"/>
      <c r="S55" s="498"/>
      <c r="T55" s="498"/>
      <c r="U55" s="498"/>
      <c r="V55" s="498"/>
      <c r="W55" s="498"/>
      <c r="X55" s="498"/>
      <c r="Y55" s="498"/>
      <c r="Z55" s="498"/>
      <c r="AA55" s="499"/>
      <c r="AB55" s="262"/>
      <c r="AC55" s="262"/>
      <c r="AD55" s="262"/>
    </row>
    <row r="56" spans="1:32" ht="15.75" thickBot="1" x14ac:dyDescent="0.3">
      <c r="A56" s="1"/>
      <c r="B56" s="1"/>
      <c r="C56" s="1"/>
      <c r="D56" s="2"/>
      <c r="E56" s="53"/>
      <c r="F56" s="53" t="s">
        <v>64</v>
      </c>
      <c r="G56" s="53"/>
      <c r="H56" s="53">
        <f t="shared" ref="H56" si="39">SUM(H57:H77)</f>
        <v>7216387</v>
      </c>
      <c r="I56" s="53">
        <f>SUM(I57:I77)</f>
        <v>80000</v>
      </c>
      <c r="J56" s="53">
        <f t="shared" ref="J56:T56" si="40">SUM(J57:J77)</f>
        <v>3230000</v>
      </c>
      <c r="K56" s="53">
        <f t="shared" si="40"/>
        <v>895000</v>
      </c>
      <c r="L56" s="53">
        <f t="shared" si="40"/>
        <v>50000</v>
      </c>
      <c r="M56" s="53">
        <f t="shared" si="40"/>
        <v>50000</v>
      </c>
      <c r="N56" s="53">
        <f t="shared" si="40"/>
        <v>100000</v>
      </c>
      <c r="O56" s="53">
        <f t="shared" si="40"/>
        <v>1051387</v>
      </c>
      <c r="P56" s="53">
        <f t="shared" si="40"/>
        <v>0</v>
      </c>
      <c r="Q56" s="53">
        <f t="shared" si="40"/>
        <v>0</v>
      </c>
      <c r="R56" s="53">
        <f t="shared" si="40"/>
        <v>235000</v>
      </c>
      <c r="S56" s="53">
        <f t="shared" si="40"/>
        <v>0</v>
      </c>
      <c r="T56" s="226">
        <f t="shared" si="40"/>
        <v>1525000</v>
      </c>
      <c r="U56" s="53">
        <f>SUM(U57:U77)</f>
        <v>5456387</v>
      </c>
      <c r="V56" s="53">
        <f t="shared" ref="V56:Y56" si="41">SUM(V57:V77)</f>
        <v>44348.86</v>
      </c>
      <c r="W56" s="53">
        <f t="shared" si="41"/>
        <v>44348.86</v>
      </c>
      <c r="X56" s="53">
        <f t="shared" si="41"/>
        <v>0</v>
      </c>
      <c r="Y56" s="53">
        <f t="shared" si="41"/>
        <v>2817551.8099999996</v>
      </c>
      <c r="Z56" s="53">
        <f>SUM(Z57:Z77)</f>
        <v>2773202.9499999997</v>
      </c>
      <c r="AA56" s="53">
        <f>SUM(AA57:AA77)</f>
        <v>-2638835.19</v>
      </c>
      <c r="AB56" s="263"/>
      <c r="AC56" s="263"/>
      <c r="AD56" s="263"/>
    </row>
    <row r="57" spans="1:32" ht="36.75" thickBot="1" x14ac:dyDescent="0.3">
      <c r="A57" t="s">
        <v>350</v>
      </c>
      <c r="B57" t="s">
        <v>347</v>
      </c>
      <c r="D57" t="s">
        <v>251</v>
      </c>
      <c r="E57" s="54">
        <v>1</v>
      </c>
      <c r="F57" s="55" t="s">
        <v>65</v>
      </c>
      <c r="G57" s="56">
        <v>3132</v>
      </c>
      <c r="H57" s="57">
        <f t="shared" ref="H57:H75" si="42">SUM(I57:T57)</f>
        <v>100000</v>
      </c>
      <c r="I57" s="208">
        <v>20000</v>
      </c>
      <c r="J57" s="208"/>
      <c r="K57" s="208">
        <v>30000</v>
      </c>
      <c r="L57" s="208"/>
      <c r="M57" s="208"/>
      <c r="N57" s="208">
        <v>50000</v>
      </c>
      <c r="O57" s="208"/>
      <c r="P57" s="208"/>
      <c r="Q57" s="208"/>
      <c r="R57" s="208"/>
      <c r="S57" s="208"/>
      <c r="T57" s="227"/>
      <c r="U57" s="39">
        <f>I57+J57+K57+L57+M57+N57+O57</f>
        <v>100000</v>
      </c>
      <c r="V57" s="40"/>
      <c r="W57" s="40"/>
      <c r="X57" s="41">
        <f>W57-V57</f>
        <v>0</v>
      </c>
      <c r="Y57" s="40">
        <f>15430.73</f>
        <v>15430.73</v>
      </c>
      <c r="Z57" s="41">
        <f>Y57-V57</f>
        <v>15430.73</v>
      </c>
      <c r="AA57" s="42">
        <f>Y57-U57</f>
        <v>-84569.27</v>
      </c>
      <c r="AB57" s="258"/>
      <c r="AC57" s="258"/>
      <c r="AD57" s="258"/>
    </row>
    <row r="58" spans="1:32" ht="24.75" thickBot="1" x14ac:dyDescent="0.3">
      <c r="E58" s="54">
        <v>2</v>
      </c>
      <c r="F58" s="55" t="s">
        <v>66</v>
      </c>
      <c r="G58" s="56">
        <v>3132</v>
      </c>
      <c r="H58" s="57">
        <f t="shared" si="42"/>
        <v>100000</v>
      </c>
      <c r="I58" s="208">
        <v>20000</v>
      </c>
      <c r="J58" s="208"/>
      <c r="K58" s="208">
        <v>30000</v>
      </c>
      <c r="L58" s="208"/>
      <c r="M58" s="208"/>
      <c r="N58" s="208">
        <v>50000</v>
      </c>
      <c r="O58" s="208"/>
      <c r="P58" s="208"/>
      <c r="Q58" s="208"/>
      <c r="R58" s="208"/>
      <c r="S58" s="208"/>
      <c r="T58" s="227"/>
      <c r="U58" s="39">
        <f t="shared" ref="U58:U121" si="43">I58+J58+K58+L58+M58+N58+O58</f>
        <v>100000</v>
      </c>
      <c r="V58" s="40"/>
      <c r="W58" s="40"/>
      <c r="X58" s="41">
        <f>W58-V58</f>
        <v>0</v>
      </c>
      <c r="Y58" s="40"/>
      <c r="Z58" s="41">
        <f>Y58-V58</f>
        <v>0</v>
      </c>
      <c r="AA58" s="42">
        <f>Y58-U58</f>
        <v>-100000</v>
      </c>
      <c r="AB58" s="258"/>
      <c r="AC58" s="258"/>
      <c r="AD58" s="258"/>
    </row>
    <row r="59" spans="1:32" ht="36.75" thickBot="1" x14ac:dyDescent="0.3">
      <c r="E59" s="54">
        <v>3</v>
      </c>
      <c r="F59" s="55" t="s">
        <v>67</v>
      </c>
      <c r="G59" s="56">
        <v>3132</v>
      </c>
      <c r="H59" s="57">
        <f t="shared" si="42"/>
        <v>100000</v>
      </c>
      <c r="I59" s="208"/>
      <c r="J59" s="208"/>
      <c r="K59" s="208">
        <v>100000</v>
      </c>
      <c r="L59" s="208"/>
      <c r="M59" s="208"/>
      <c r="N59" s="208"/>
      <c r="O59" s="208"/>
      <c r="P59" s="208"/>
      <c r="Q59" s="208"/>
      <c r="R59" s="208"/>
      <c r="S59" s="208"/>
      <c r="T59" s="227"/>
      <c r="U59" s="39">
        <f t="shared" si="43"/>
        <v>100000</v>
      </c>
      <c r="V59" s="64"/>
      <c r="W59" s="64"/>
      <c r="X59" s="41">
        <f t="shared" ref="X59:X77" si="44">W59-V59</f>
        <v>0</v>
      </c>
      <c r="Y59" s="125"/>
      <c r="Z59" s="41">
        <f t="shared" ref="Z59:Z77" si="45">Y59-V59</f>
        <v>0</v>
      </c>
      <c r="AA59" s="42">
        <f t="shared" ref="AA59:AA77" si="46">Y59-U59</f>
        <v>-100000</v>
      </c>
      <c r="AB59" s="258"/>
      <c r="AC59" s="258"/>
      <c r="AD59" s="258"/>
    </row>
    <row r="60" spans="1:32" ht="48.75" thickBot="1" x14ac:dyDescent="0.3">
      <c r="E60" s="54">
        <v>4</v>
      </c>
      <c r="F60" s="179" t="s">
        <v>68</v>
      </c>
      <c r="G60" s="180">
        <v>3132</v>
      </c>
      <c r="H60" s="181">
        <f t="shared" si="42"/>
        <v>100000</v>
      </c>
      <c r="I60" s="208"/>
      <c r="J60" s="208"/>
      <c r="K60" s="208">
        <v>100000</v>
      </c>
      <c r="L60" s="208"/>
      <c r="M60" s="208"/>
      <c r="N60" s="208"/>
      <c r="O60" s="208"/>
      <c r="P60" s="208"/>
      <c r="Q60" s="208"/>
      <c r="R60" s="208"/>
      <c r="S60" s="208"/>
      <c r="T60" s="227"/>
      <c r="U60" s="39">
        <f t="shared" si="43"/>
        <v>100000</v>
      </c>
      <c r="V60" s="64"/>
      <c r="W60" s="64"/>
      <c r="X60" s="41">
        <f t="shared" si="44"/>
        <v>0</v>
      </c>
      <c r="Y60" s="125"/>
      <c r="Z60" s="41">
        <f t="shared" si="45"/>
        <v>0</v>
      </c>
      <c r="AA60" s="42">
        <f t="shared" si="46"/>
        <v>-100000</v>
      </c>
      <c r="AB60" s="258"/>
      <c r="AC60" s="258"/>
      <c r="AD60" s="258"/>
    </row>
    <row r="61" spans="1:32" ht="36.75" thickBot="1" x14ac:dyDescent="0.3">
      <c r="E61" s="54">
        <v>5</v>
      </c>
      <c r="F61" s="179" t="s">
        <v>69</v>
      </c>
      <c r="G61" s="180">
        <v>3132</v>
      </c>
      <c r="H61" s="181">
        <f t="shared" si="42"/>
        <v>676387</v>
      </c>
      <c r="I61" s="208"/>
      <c r="J61" s="208"/>
      <c r="K61" s="208">
        <v>100000</v>
      </c>
      <c r="L61" s="208"/>
      <c r="M61" s="208"/>
      <c r="N61" s="208"/>
      <c r="O61" s="208">
        <f>900000-167613-156000</f>
        <v>576387</v>
      </c>
      <c r="P61" s="208"/>
      <c r="Q61" s="208"/>
      <c r="R61" s="208"/>
      <c r="S61" s="208"/>
      <c r="T61" s="227"/>
      <c r="U61" s="39">
        <f t="shared" si="43"/>
        <v>676387</v>
      </c>
      <c r="V61" s="64"/>
      <c r="W61" s="64"/>
      <c r="X61" s="41">
        <f t="shared" si="44"/>
        <v>0</v>
      </c>
      <c r="Y61" s="125"/>
      <c r="Z61" s="41">
        <f t="shared" si="45"/>
        <v>0</v>
      </c>
      <c r="AA61" s="42">
        <f t="shared" si="46"/>
        <v>-676387</v>
      </c>
      <c r="AB61" s="258"/>
      <c r="AC61" s="258"/>
      <c r="AD61" s="258"/>
    </row>
    <row r="62" spans="1:32" ht="36.75" thickBot="1" x14ac:dyDescent="0.3">
      <c r="A62" t="s">
        <v>212</v>
      </c>
      <c r="B62" s="102">
        <v>44587</v>
      </c>
      <c r="D62" t="s">
        <v>211</v>
      </c>
      <c r="E62" s="54">
        <v>6</v>
      </c>
      <c r="F62" s="179" t="s">
        <v>70</v>
      </c>
      <c r="G62" s="180">
        <v>3132</v>
      </c>
      <c r="H62" s="181">
        <f t="shared" si="42"/>
        <v>100000</v>
      </c>
      <c r="I62" s="208"/>
      <c r="J62" s="208"/>
      <c r="K62" s="208">
        <v>50000</v>
      </c>
      <c r="L62" s="208">
        <f>660000-610000</f>
        <v>50000</v>
      </c>
      <c r="M62" s="208">
        <f>1290000-1290000</f>
        <v>0</v>
      </c>
      <c r="N62" s="208"/>
      <c r="O62" s="208"/>
      <c r="P62" s="208"/>
      <c r="Q62" s="208"/>
      <c r="R62" s="208"/>
      <c r="S62" s="208"/>
      <c r="T62" s="227"/>
      <c r="U62" s="39">
        <f t="shared" si="43"/>
        <v>100000</v>
      </c>
      <c r="V62" s="64"/>
      <c r="W62" s="64"/>
      <c r="X62" s="41">
        <f t="shared" si="44"/>
        <v>0</v>
      </c>
      <c r="Y62" s="125"/>
      <c r="Z62" s="41">
        <f t="shared" si="45"/>
        <v>0</v>
      </c>
      <c r="AA62" s="42">
        <f t="shared" si="46"/>
        <v>-100000</v>
      </c>
      <c r="AB62" s="258"/>
      <c r="AC62" s="258"/>
      <c r="AD62" s="258"/>
    </row>
    <row r="63" spans="1:32" ht="36.75" thickBot="1" x14ac:dyDescent="0.3">
      <c r="A63" t="s">
        <v>352</v>
      </c>
      <c r="B63" t="s">
        <v>347</v>
      </c>
      <c r="D63" t="s">
        <v>351</v>
      </c>
      <c r="E63" s="54">
        <v>7</v>
      </c>
      <c r="F63" s="179" t="s">
        <v>71</v>
      </c>
      <c r="G63" s="180">
        <v>3132</v>
      </c>
      <c r="H63" s="181">
        <f t="shared" si="42"/>
        <v>100000</v>
      </c>
      <c r="I63" s="208">
        <v>20000</v>
      </c>
      <c r="J63" s="208"/>
      <c r="K63" s="208">
        <v>30000</v>
      </c>
      <c r="L63" s="208"/>
      <c r="M63" s="208"/>
      <c r="N63" s="208"/>
      <c r="O63" s="208">
        <f>625000-575000</f>
        <v>50000</v>
      </c>
      <c r="P63" s="208"/>
      <c r="Q63" s="208"/>
      <c r="R63" s="208"/>
      <c r="S63" s="208"/>
      <c r="T63" s="227"/>
      <c r="U63" s="39">
        <f t="shared" si="43"/>
        <v>100000</v>
      </c>
      <c r="V63" s="125"/>
      <c r="W63" s="125"/>
      <c r="X63" s="41">
        <f t="shared" si="44"/>
        <v>0</v>
      </c>
      <c r="Y63" s="125">
        <f>18801.79</f>
        <v>18801.79</v>
      </c>
      <c r="Z63" s="41">
        <f t="shared" si="45"/>
        <v>18801.79</v>
      </c>
      <c r="AA63" s="42">
        <f t="shared" si="46"/>
        <v>-81198.209999999992</v>
      </c>
      <c r="AB63" s="258"/>
      <c r="AC63" s="258"/>
      <c r="AD63" s="258"/>
    </row>
    <row r="64" spans="1:32" ht="36.75" thickBot="1" x14ac:dyDescent="0.3">
      <c r="D64" t="s">
        <v>211</v>
      </c>
      <c r="E64" s="54">
        <v>8</v>
      </c>
      <c r="F64" s="179" t="s">
        <v>72</v>
      </c>
      <c r="G64" s="180">
        <v>3132</v>
      </c>
      <c r="H64" s="181">
        <f t="shared" si="42"/>
        <v>100000</v>
      </c>
      <c r="I64" s="208">
        <v>20000</v>
      </c>
      <c r="J64" s="208"/>
      <c r="K64" s="208">
        <v>30000</v>
      </c>
      <c r="L64" s="208"/>
      <c r="M64" s="208">
        <f>150000-100000</f>
        <v>50000</v>
      </c>
      <c r="N64" s="208">
        <f>1080000-1080000</f>
        <v>0</v>
      </c>
      <c r="O64" s="208">
        <f>720000-720000</f>
        <v>0</v>
      </c>
      <c r="P64" s="208"/>
      <c r="Q64" s="208"/>
      <c r="R64" s="208"/>
      <c r="S64" s="208"/>
      <c r="T64" s="227"/>
      <c r="U64" s="39">
        <f t="shared" si="43"/>
        <v>100000</v>
      </c>
      <c r="V64" s="125"/>
      <c r="W64" s="125"/>
      <c r="X64" s="41">
        <f t="shared" si="44"/>
        <v>0</v>
      </c>
      <c r="Y64" s="125">
        <f>45235</f>
        <v>45235</v>
      </c>
      <c r="Z64" s="41">
        <f t="shared" si="45"/>
        <v>45235</v>
      </c>
      <c r="AA64" s="42">
        <f t="shared" si="46"/>
        <v>-54765</v>
      </c>
      <c r="AB64" s="258"/>
      <c r="AC64" s="258"/>
      <c r="AD64" s="258"/>
    </row>
    <row r="65" spans="1:30" ht="36.75" thickBot="1" x14ac:dyDescent="0.3">
      <c r="E65" s="54">
        <v>9</v>
      </c>
      <c r="F65" s="179" t="s">
        <v>73</v>
      </c>
      <c r="G65" s="180">
        <v>3132</v>
      </c>
      <c r="H65" s="181">
        <f t="shared" si="42"/>
        <v>100000</v>
      </c>
      <c r="I65" s="208"/>
      <c r="J65" s="208"/>
      <c r="K65" s="208">
        <v>50000</v>
      </c>
      <c r="L65" s="208"/>
      <c r="M65" s="208"/>
      <c r="N65" s="208"/>
      <c r="O65" s="209"/>
      <c r="P65" s="208"/>
      <c r="Q65" s="208"/>
      <c r="R65" s="208">
        <f>550000-500000</f>
        <v>50000</v>
      </c>
      <c r="S65" s="208"/>
      <c r="T65" s="227"/>
      <c r="U65" s="39">
        <f t="shared" si="43"/>
        <v>50000</v>
      </c>
      <c r="V65" s="125"/>
      <c r="W65" s="125"/>
      <c r="X65" s="41">
        <f t="shared" si="44"/>
        <v>0</v>
      </c>
      <c r="Y65" s="125"/>
      <c r="Z65" s="41">
        <f t="shared" si="45"/>
        <v>0</v>
      </c>
      <c r="AA65" s="42">
        <f t="shared" si="46"/>
        <v>-50000</v>
      </c>
      <c r="AB65" s="258"/>
      <c r="AC65" s="258"/>
      <c r="AD65" s="258"/>
    </row>
    <row r="66" spans="1:30" ht="36.75" thickBot="1" x14ac:dyDescent="0.3">
      <c r="E66" s="54">
        <v>10</v>
      </c>
      <c r="F66" s="179" t="s">
        <v>74</v>
      </c>
      <c r="G66" s="180">
        <v>3132</v>
      </c>
      <c r="H66" s="181">
        <f t="shared" si="42"/>
        <v>100000</v>
      </c>
      <c r="I66" s="208"/>
      <c r="J66" s="208"/>
      <c r="K66" s="208">
        <v>50000</v>
      </c>
      <c r="L66" s="208"/>
      <c r="M66" s="208"/>
      <c r="N66" s="208"/>
      <c r="O66" s="208"/>
      <c r="P66" s="208"/>
      <c r="Q66" s="208"/>
      <c r="R66" s="208">
        <f>950000-900000</f>
        <v>50000</v>
      </c>
      <c r="S66" s="208"/>
      <c r="T66" s="227"/>
      <c r="U66" s="39">
        <f t="shared" si="43"/>
        <v>50000</v>
      </c>
      <c r="V66" s="125"/>
      <c r="W66" s="125"/>
      <c r="X66" s="41">
        <f t="shared" si="44"/>
        <v>0</v>
      </c>
      <c r="Y66" s="125"/>
      <c r="Z66" s="41">
        <f t="shared" si="45"/>
        <v>0</v>
      </c>
      <c r="AA66" s="42">
        <f t="shared" si="46"/>
        <v>-50000</v>
      </c>
      <c r="AB66" s="258"/>
      <c r="AC66" s="258"/>
      <c r="AD66" s="258"/>
    </row>
    <row r="67" spans="1:30" ht="48.75" thickBot="1" x14ac:dyDescent="0.3">
      <c r="A67" t="s">
        <v>261</v>
      </c>
      <c r="B67" t="s">
        <v>236</v>
      </c>
      <c r="C67">
        <v>1756640.4</v>
      </c>
      <c r="D67" t="s">
        <v>258</v>
      </c>
      <c r="E67" s="54">
        <v>11</v>
      </c>
      <c r="F67" s="179" t="s">
        <v>75</v>
      </c>
      <c r="G67" s="180">
        <v>3132</v>
      </c>
      <c r="H67" s="181">
        <f t="shared" si="42"/>
        <v>2300000</v>
      </c>
      <c r="I67" s="208"/>
      <c r="J67" s="208">
        <v>2300000</v>
      </c>
      <c r="K67" s="208"/>
      <c r="L67" s="208"/>
      <c r="M67" s="208"/>
      <c r="N67" s="208"/>
      <c r="O67" s="208"/>
      <c r="P67" s="208"/>
      <c r="Q67" s="208"/>
      <c r="R67" s="208"/>
      <c r="S67" s="208"/>
      <c r="T67" s="227"/>
      <c r="U67" s="39">
        <f t="shared" si="43"/>
        <v>2300000</v>
      </c>
      <c r="V67" s="125">
        <f>17371.86+5881</f>
        <v>23252.86</v>
      </c>
      <c r="W67" s="125">
        <f>17371.86+5881</f>
        <v>23252.86</v>
      </c>
      <c r="X67" s="41">
        <f t="shared" si="44"/>
        <v>0</v>
      </c>
      <c r="Y67" s="125">
        <f>17371.86+5881+1756640.4+22748.8</f>
        <v>1802642.06</v>
      </c>
      <c r="Z67" s="41">
        <f t="shared" si="45"/>
        <v>1779389.2</v>
      </c>
      <c r="AA67" s="42">
        <f t="shared" si="46"/>
        <v>-497357.93999999994</v>
      </c>
      <c r="AB67" s="258"/>
      <c r="AC67" s="258"/>
      <c r="AD67" s="258"/>
    </row>
    <row r="68" spans="1:30" ht="36.75" thickBot="1" x14ac:dyDescent="0.3">
      <c r="A68" t="s">
        <v>260</v>
      </c>
      <c r="B68" t="s">
        <v>236</v>
      </c>
      <c r="C68">
        <v>868131.6</v>
      </c>
      <c r="D68" t="s">
        <v>259</v>
      </c>
      <c r="E68" s="54">
        <v>12</v>
      </c>
      <c r="F68" s="179" t="s">
        <v>76</v>
      </c>
      <c r="G68" s="180">
        <v>3132</v>
      </c>
      <c r="H68" s="181">
        <f t="shared" si="42"/>
        <v>930000</v>
      </c>
      <c r="I68" s="208"/>
      <c r="J68" s="208">
        <v>930000</v>
      </c>
      <c r="K68" s="208"/>
      <c r="L68" s="208"/>
      <c r="M68" s="208"/>
      <c r="N68" s="208"/>
      <c r="O68" s="208"/>
      <c r="P68" s="208"/>
      <c r="Q68" s="208"/>
      <c r="R68" s="208"/>
      <c r="S68" s="208"/>
      <c r="T68" s="227"/>
      <c r="U68" s="39">
        <f t="shared" si="43"/>
        <v>930000</v>
      </c>
      <c r="V68" s="125">
        <f>16020+5076</f>
        <v>21096</v>
      </c>
      <c r="W68" s="125">
        <f>16020+5076</f>
        <v>21096</v>
      </c>
      <c r="X68" s="41">
        <f t="shared" si="44"/>
        <v>0</v>
      </c>
      <c r="Y68" s="125">
        <f>16020+5076+868131.6+11217.95</f>
        <v>900445.54999999993</v>
      </c>
      <c r="Z68" s="41">
        <f t="shared" si="45"/>
        <v>879349.54999999993</v>
      </c>
      <c r="AA68" s="42">
        <f t="shared" si="46"/>
        <v>-29554.45000000007</v>
      </c>
      <c r="AB68" s="258"/>
      <c r="AC68" s="258"/>
      <c r="AD68" s="258"/>
    </row>
    <row r="69" spans="1:30" ht="36.75" thickBot="1" x14ac:dyDescent="0.3">
      <c r="A69" t="s">
        <v>252</v>
      </c>
      <c r="B69" s="102">
        <v>44606</v>
      </c>
      <c r="D69" t="s">
        <v>251</v>
      </c>
      <c r="E69" s="54">
        <v>13</v>
      </c>
      <c r="F69" s="190" t="s">
        <v>77</v>
      </c>
      <c r="G69" s="180">
        <v>3132</v>
      </c>
      <c r="H69" s="181">
        <f t="shared" si="42"/>
        <v>50000</v>
      </c>
      <c r="I69" s="208"/>
      <c r="J69" s="208"/>
      <c r="K69" s="208">
        <v>50000</v>
      </c>
      <c r="L69" s="208"/>
      <c r="M69" s="208"/>
      <c r="N69" s="208"/>
      <c r="O69" s="208"/>
      <c r="P69" s="208"/>
      <c r="Q69" s="208"/>
      <c r="R69" s="208"/>
      <c r="S69" s="208"/>
      <c r="T69" s="227"/>
      <c r="U69" s="39">
        <f t="shared" si="43"/>
        <v>50000</v>
      </c>
      <c r="V69" s="125"/>
      <c r="W69" s="125"/>
      <c r="X69" s="41">
        <f t="shared" si="44"/>
        <v>0</v>
      </c>
      <c r="Y69" s="125">
        <f>4272+13226.34</f>
        <v>17498.34</v>
      </c>
      <c r="Z69" s="41">
        <f t="shared" si="45"/>
        <v>17498.34</v>
      </c>
      <c r="AA69" s="42">
        <f t="shared" si="46"/>
        <v>-32501.66</v>
      </c>
      <c r="AB69" s="258"/>
      <c r="AC69" s="258"/>
      <c r="AD69" s="258"/>
    </row>
    <row r="70" spans="1:30" ht="36.75" thickBot="1" x14ac:dyDescent="0.3">
      <c r="E70" s="54">
        <v>14</v>
      </c>
      <c r="F70" s="190" t="s">
        <v>78</v>
      </c>
      <c r="G70" s="180">
        <v>3132</v>
      </c>
      <c r="H70" s="181">
        <f t="shared" si="42"/>
        <v>50000</v>
      </c>
      <c r="I70" s="208"/>
      <c r="J70" s="208"/>
      <c r="K70" s="208">
        <v>50000</v>
      </c>
      <c r="L70" s="208"/>
      <c r="M70" s="208"/>
      <c r="N70" s="208"/>
      <c r="O70" s="208"/>
      <c r="P70" s="208"/>
      <c r="Q70" s="208"/>
      <c r="R70" s="208"/>
      <c r="S70" s="208"/>
      <c r="T70" s="227"/>
      <c r="U70" s="39">
        <f t="shared" si="43"/>
        <v>50000</v>
      </c>
      <c r="V70" s="125"/>
      <c r="W70" s="125"/>
      <c r="X70" s="41">
        <f t="shared" si="44"/>
        <v>0</v>
      </c>
      <c r="Y70" s="125"/>
      <c r="Z70" s="41">
        <f t="shared" si="45"/>
        <v>0</v>
      </c>
      <c r="AA70" s="42">
        <f t="shared" si="46"/>
        <v>-50000</v>
      </c>
      <c r="AB70" s="258"/>
      <c r="AC70" s="258"/>
      <c r="AD70" s="258"/>
    </row>
    <row r="71" spans="1:30" ht="36.75" thickBot="1" x14ac:dyDescent="0.3">
      <c r="A71" t="s">
        <v>262</v>
      </c>
      <c r="B71" s="102">
        <v>44606</v>
      </c>
      <c r="D71" t="s">
        <v>251</v>
      </c>
      <c r="E71" s="54">
        <v>15</v>
      </c>
      <c r="F71" s="190" t="s">
        <v>79</v>
      </c>
      <c r="G71" s="180">
        <v>3132</v>
      </c>
      <c r="H71" s="181">
        <f t="shared" si="42"/>
        <v>160000</v>
      </c>
      <c r="I71" s="208"/>
      <c r="J71" s="208"/>
      <c r="K71" s="208">
        <v>25000</v>
      </c>
      <c r="L71" s="208"/>
      <c r="M71" s="208"/>
      <c r="N71" s="208"/>
      <c r="O71" s="208"/>
      <c r="P71" s="208"/>
      <c r="Q71" s="208"/>
      <c r="R71" s="208">
        <v>135000</v>
      </c>
      <c r="S71" s="208"/>
      <c r="T71" s="227"/>
      <c r="U71" s="39">
        <f t="shared" si="43"/>
        <v>25000</v>
      </c>
      <c r="V71" s="125"/>
      <c r="W71" s="125"/>
      <c r="X71" s="41">
        <f t="shared" si="44"/>
        <v>0</v>
      </c>
      <c r="Y71" s="125">
        <f>4272+13226.34</f>
        <v>17498.34</v>
      </c>
      <c r="Z71" s="41">
        <f t="shared" si="45"/>
        <v>17498.34</v>
      </c>
      <c r="AA71" s="42">
        <f t="shared" si="46"/>
        <v>-7501.66</v>
      </c>
      <c r="AB71" s="258"/>
      <c r="AC71" s="258"/>
      <c r="AD71" s="258"/>
    </row>
    <row r="72" spans="1:30" ht="24.75" thickBot="1" x14ac:dyDescent="0.3">
      <c r="E72" s="54">
        <v>16</v>
      </c>
      <c r="F72" s="190" t="s">
        <v>80</v>
      </c>
      <c r="G72" s="180">
        <v>3132</v>
      </c>
      <c r="H72" s="181">
        <f t="shared" si="42"/>
        <v>300000</v>
      </c>
      <c r="I72" s="208"/>
      <c r="J72" s="208"/>
      <c r="K72" s="208">
        <v>25000</v>
      </c>
      <c r="L72" s="208"/>
      <c r="M72" s="208"/>
      <c r="N72" s="208"/>
      <c r="O72" s="208"/>
      <c r="P72" s="208"/>
      <c r="Q72" s="208"/>
      <c r="R72" s="208"/>
      <c r="S72" s="208"/>
      <c r="T72" s="227">
        <v>275000</v>
      </c>
      <c r="U72" s="39">
        <f t="shared" si="43"/>
        <v>25000</v>
      </c>
      <c r="V72" s="125"/>
      <c r="W72" s="125"/>
      <c r="X72" s="41">
        <f t="shared" si="44"/>
        <v>0</v>
      </c>
      <c r="Y72" s="125"/>
      <c r="Z72" s="41">
        <f t="shared" si="45"/>
        <v>0</v>
      </c>
      <c r="AA72" s="42">
        <f t="shared" si="46"/>
        <v>-25000</v>
      </c>
      <c r="AB72" s="258"/>
      <c r="AC72" s="258"/>
      <c r="AD72" s="258"/>
    </row>
    <row r="73" spans="1:30" ht="36.75" thickBot="1" x14ac:dyDescent="0.3">
      <c r="D73" t="s">
        <v>263</v>
      </c>
      <c r="E73" s="54">
        <v>17</v>
      </c>
      <c r="F73" s="190" t="s">
        <v>81</v>
      </c>
      <c r="G73" s="180">
        <v>3132</v>
      </c>
      <c r="H73" s="181">
        <f t="shared" si="42"/>
        <v>500000</v>
      </c>
      <c r="I73" s="208"/>
      <c r="J73" s="208"/>
      <c r="K73" s="208">
        <v>50000</v>
      </c>
      <c r="L73" s="208"/>
      <c r="M73" s="208"/>
      <c r="N73" s="208"/>
      <c r="O73" s="208"/>
      <c r="P73" s="208"/>
      <c r="Q73" s="208"/>
      <c r="R73" s="208"/>
      <c r="S73" s="208"/>
      <c r="T73" s="227">
        <v>450000</v>
      </c>
      <c r="U73" s="39">
        <f t="shared" si="43"/>
        <v>50000</v>
      </c>
      <c r="V73" s="125"/>
      <c r="W73" s="125"/>
      <c r="X73" s="41">
        <f t="shared" si="44"/>
        <v>0</v>
      </c>
      <c r="Y73" s="125"/>
      <c r="Z73" s="41">
        <f t="shared" si="45"/>
        <v>0</v>
      </c>
      <c r="AA73" s="42">
        <f t="shared" si="46"/>
        <v>-50000</v>
      </c>
      <c r="AB73" s="258"/>
      <c r="AC73" s="258"/>
      <c r="AD73" s="258"/>
    </row>
    <row r="74" spans="1:30" ht="36.75" thickBot="1" x14ac:dyDescent="0.3">
      <c r="E74" s="54">
        <v>18</v>
      </c>
      <c r="F74" s="190" t="s">
        <v>82</v>
      </c>
      <c r="G74" s="180">
        <v>3132</v>
      </c>
      <c r="H74" s="181">
        <f t="shared" si="42"/>
        <v>350000</v>
      </c>
      <c r="I74" s="208"/>
      <c r="J74" s="208"/>
      <c r="K74" s="208">
        <v>25000</v>
      </c>
      <c r="L74" s="208"/>
      <c r="M74" s="208"/>
      <c r="N74" s="208"/>
      <c r="O74" s="208">
        <v>325000</v>
      </c>
      <c r="P74" s="208"/>
      <c r="Q74" s="208"/>
      <c r="R74" s="208"/>
      <c r="S74" s="208"/>
      <c r="T74" s="227"/>
      <c r="U74" s="39">
        <f t="shared" si="43"/>
        <v>350000</v>
      </c>
      <c r="V74" s="125"/>
      <c r="W74" s="125"/>
      <c r="X74" s="41">
        <f t="shared" si="44"/>
        <v>0</v>
      </c>
      <c r="Y74" s="125"/>
      <c r="Z74" s="41">
        <f t="shared" si="45"/>
        <v>0</v>
      </c>
      <c r="AA74" s="42">
        <f t="shared" si="46"/>
        <v>-350000</v>
      </c>
      <c r="AB74" s="258"/>
      <c r="AC74" s="258"/>
      <c r="AD74" s="258"/>
    </row>
    <row r="75" spans="1:30" ht="48.75" thickBot="1" x14ac:dyDescent="0.3">
      <c r="E75" s="54">
        <v>19</v>
      </c>
      <c r="F75" s="190" t="s">
        <v>83</v>
      </c>
      <c r="G75" s="180">
        <v>3132</v>
      </c>
      <c r="H75" s="181">
        <f t="shared" si="42"/>
        <v>400000</v>
      </c>
      <c r="I75" s="208"/>
      <c r="J75" s="210"/>
      <c r="K75" s="210">
        <v>50000</v>
      </c>
      <c r="L75" s="211"/>
      <c r="M75" s="211"/>
      <c r="N75" s="211"/>
      <c r="O75" s="211"/>
      <c r="P75" s="211"/>
      <c r="Q75" s="211"/>
      <c r="R75" s="211"/>
      <c r="S75" s="211"/>
      <c r="T75" s="228">
        <v>350000</v>
      </c>
      <c r="U75" s="39">
        <f t="shared" si="43"/>
        <v>50000</v>
      </c>
      <c r="V75" s="125"/>
      <c r="W75" s="125"/>
      <c r="X75" s="41">
        <f t="shared" si="44"/>
        <v>0</v>
      </c>
      <c r="Y75" s="125"/>
      <c r="Z75" s="41">
        <f t="shared" si="45"/>
        <v>0</v>
      </c>
      <c r="AA75" s="42">
        <f t="shared" si="46"/>
        <v>-50000</v>
      </c>
      <c r="AB75" s="258"/>
      <c r="AC75" s="258"/>
      <c r="AD75" s="258"/>
    </row>
    <row r="76" spans="1:30" ht="36.75" thickBot="1" x14ac:dyDescent="0.3">
      <c r="E76" s="54">
        <v>20</v>
      </c>
      <c r="F76" s="190" t="s">
        <v>84</v>
      </c>
      <c r="G76" s="180">
        <v>3132</v>
      </c>
      <c r="H76" s="181">
        <f>SUM(I76:T76)</f>
        <v>500000</v>
      </c>
      <c r="I76" s="208"/>
      <c r="J76" s="210"/>
      <c r="K76" s="210">
        <v>50000</v>
      </c>
      <c r="L76" s="211"/>
      <c r="M76" s="211"/>
      <c r="N76" s="211"/>
      <c r="O76" s="211"/>
      <c r="P76" s="211"/>
      <c r="Q76" s="211"/>
      <c r="R76" s="211"/>
      <c r="S76" s="211"/>
      <c r="T76" s="228">
        <v>450000</v>
      </c>
      <c r="U76" s="39">
        <f t="shared" si="43"/>
        <v>50000</v>
      </c>
      <c r="V76" s="125"/>
      <c r="W76" s="125"/>
      <c r="X76" s="41">
        <f t="shared" si="44"/>
        <v>0</v>
      </c>
      <c r="Y76" s="125"/>
      <c r="Z76" s="41">
        <f t="shared" si="45"/>
        <v>0</v>
      </c>
      <c r="AA76" s="42">
        <f t="shared" si="46"/>
        <v>-50000</v>
      </c>
      <c r="AB76" s="258"/>
      <c r="AC76" s="258"/>
      <c r="AD76" s="258"/>
    </row>
    <row r="77" spans="1:30" ht="34.5" thickBot="1" x14ac:dyDescent="0.3">
      <c r="E77" s="54">
        <v>21</v>
      </c>
      <c r="F77" s="191" t="s">
        <v>269</v>
      </c>
      <c r="G77" s="180">
        <v>3132</v>
      </c>
      <c r="H77" s="181">
        <f>SUM(I77:T77)</f>
        <v>100000</v>
      </c>
      <c r="I77" s="208"/>
      <c r="J77" s="210"/>
      <c r="K77" s="210"/>
      <c r="L77" s="211"/>
      <c r="M77" s="211"/>
      <c r="N77" s="211"/>
      <c r="O77" s="211">
        <v>100000</v>
      </c>
      <c r="P77" s="211"/>
      <c r="Q77" s="211"/>
      <c r="R77" s="211"/>
      <c r="S77" s="211"/>
      <c r="T77" s="228"/>
      <c r="U77" s="39">
        <f t="shared" si="43"/>
        <v>100000</v>
      </c>
      <c r="V77" s="148"/>
      <c r="W77" s="148"/>
      <c r="X77" s="41">
        <f t="shared" si="44"/>
        <v>0</v>
      </c>
      <c r="Y77" s="148"/>
      <c r="Z77" s="41">
        <f t="shared" si="45"/>
        <v>0</v>
      </c>
      <c r="AA77" s="42">
        <f t="shared" si="46"/>
        <v>-100000</v>
      </c>
      <c r="AB77" s="258"/>
      <c r="AC77" s="258"/>
      <c r="AD77" s="258"/>
    </row>
    <row r="78" spans="1:30" ht="15.75" thickBot="1" x14ac:dyDescent="0.3">
      <c r="E78" s="54"/>
      <c r="F78" s="53" t="s">
        <v>85</v>
      </c>
      <c r="G78" s="53"/>
      <c r="H78" s="53">
        <f>SUM(H79:H94)</f>
        <v>6104500</v>
      </c>
      <c r="I78" s="53">
        <f>SUM(I79:I94)-I80</f>
        <v>410000</v>
      </c>
      <c r="J78" s="53">
        <f t="shared" ref="J78:T78" si="47">SUM(J79:J94)-J80</f>
        <v>450000</v>
      </c>
      <c r="K78" s="53">
        <f t="shared" si="47"/>
        <v>1087000</v>
      </c>
      <c r="L78" s="53">
        <f t="shared" si="47"/>
        <v>1075500</v>
      </c>
      <c r="M78" s="53">
        <f t="shared" si="47"/>
        <v>0</v>
      </c>
      <c r="N78" s="53">
        <f t="shared" si="47"/>
        <v>0</v>
      </c>
      <c r="O78" s="53">
        <f t="shared" si="47"/>
        <v>50000</v>
      </c>
      <c r="P78" s="53">
        <f t="shared" si="47"/>
        <v>525000</v>
      </c>
      <c r="Q78" s="53">
        <f t="shared" si="47"/>
        <v>0</v>
      </c>
      <c r="R78" s="53">
        <f t="shared" si="47"/>
        <v>358000</v>
      </c>
      <c r="S78" s="53">
        <f t="shared" si="47"/>
        <v>800000</v>
      </c>
      <c r="T78" s="226">
        <f t="shared" si="47"/>
        <v>649000</v>
      </c>
      <c r="U78" s="39">
        <f t="shared" si="43"/>
        <v>3072500</v>
      </c>
      <c r="V78" s="53">
        <f t="shared" ref="V78:AA78" si="48">SUM(V79:V94)</f>
        <v>34498</v>
      </c>
      <c r="W78" s="53">
        <f t="shared" si="48"/>
        <v>34498</v>
      </c>
      <c r="X78" s="53">
        <f t="shared" si="48"/>
        <v>0</v>
      </c>
      <c r="Y78" s="53">
        <f t="shared" si="48"/>
        <v>96090</v>
      </c>
      <c r="Z78" s="53">
        <f t="shared" si="48"/>
        <v>61592</v>
      </c>
      <c r="AA78" s="53">
        <f t="shared" si="48"/>
        <v>-2976410</v>
      </c>
      <c r="AB78" s="263"/>
      <c r="AC78" s="263"/>
      <c r="AD78" s="263"/>
    </row>
    <row r="79" spans="1:30" ht="36.75" thickBot="1" x14ac:dyDescent="0.3">
      <c r="A79" t="s">
        <v>216</v>
      </c>
      <c r="B79" t="s">
        <v>217</v>
      </c>
      <c r="D79" t="s">
        <v>215</v>
      </c>
      <c r="E79" s="54">
        <v>22</v>
      </c>
      <c r="F79" s="55" t="s">
        <v>86</v>
      </c>
      <c r="G79" s="56">
        <v>3132</v>
      </c>
      <c r="H79" s="58">
        <f>SUM(I79:T79)</f>
        <v>1125500</v>
      </c>
      <c r="I79" s="182">
        <v>200000</v>
      </c>
      <c r="J79" s="182">
        <v>200000</v>
      </c>
      <c r="K79" s="58"/>
      <c r="L79" s="58">
        <v>725500</v>
      </c>
      <c r="M79" s="59"/>
      <c r="N79" s="59"/>
      <c r="O79" s="59"/>
      <c r="P79" s="59"/>
      <c r="Q79" s="59"/>
      <c r="R79" s="59"/>
      <c r="S79" s="59"/>
      <c r="T79" s="229"/>
      <c r="U79" s="39">
        <f t="shared" si="43"/>
        <v>1125500</v>
      </c>
      <c r="V79" s="126">
        <f>12150</f>
        <v>12150</v>
      </c>
      <c r="W79" s="126">
        <f>12150</f>
        <v>12150</v>
      </c>
      <c r="X79" s="106">
        <f t="shared" ref="X79:X94" si="49">W79-V79</f>
        <v>0</v>
      </c>
      <c r="Y79" s="126">
        <f>12150</f>
        <v>12150</v>
      </c>
      <c r="Z79" s="41">
        <f t="shared" ref="Z79:Z94" si="50">Y79-V79</f>
        <v>0</v>
      </c>
      <c r="AA79" s="42">
        <f t="shared" ref="AA79:AA94" si="51">Y79-U79</f>
        <v>-1113350</v>
      </c>
      <c r="AB79" s="258"/>
      <c r="AC79" s="258"/>
      <c r="AD79" s="258"/>
    </row>
    <row r="80" spans="1:30" ht="23.25" thickBot="1" x14ac:dyDescent="0.3">
      <c r="E80" s="54"/>
      <c r="F80" s="146" t="s">
        <v>270</v>
      </c>
      <c r="G80" s="56"/>
      <c r="H80" s="58">
        <f>SUM(I80:T80)</f>
        <v>200000</v>
      </c>
      <c r="I80" s="189"/>
      <c r="J80" s="189">
        <v>200000</v>
      </c>
      <c r="K80" s="145"/>
      <c r="L80" s="145"/>
      <c r="M80" s="145"/>
      <c r="N80" s="145"/>
      <c r="O80" s="145"/>
      <c r="P80" s="145"/>
      <c r="Q80" s="145"/>
      <c r="R80" s="145"/>
      <c r="S80" s="145"/>
      <c r="T80" s="229"/>
      <c r="U80" s="39">
        <f t="shared" si="43"/>
        <v>200000</v>
      </c>
      <c r="V80" s="126"/>
      <c r="W80" s="126"/>
      <c r="X80" s="106"/>
      <c r="Y80" s="126"/>
      <c r="Z80" s="41"/>
      <c r="AA80" s="42"/>
      <c r="AB80" s="258"/>
      <c r="AC80" s="258"/>
      <c r="AD80" s="258"/>
    </row>
    <row r="81" spans="1:30" ht="24.75" thickBot="1" x14ac:dyDescent="0.3">
      <c r="E81" s="54">
        <f>E79+1</f>
        <v>23</v>
      </c>
      <c r="F81" s="179" t="s">
        <v>87</v>
      </c>
      <c r="G81" s="180">
        <v>3132</v>
      </c>
      <c r="H81" s="182">
        <f t="shared" ref="H81:H89" si="52">SUM(I81:T81)</f>
        <v>450000</v>
      </c>
      <c r="I81" s="208">
        <v>20000</v>
      </c>
      <c r="J81" s="208"/>
      <c r="K81" s="208">
        <v>30000</v>
      </c>
      <c r="L81" s="208"/>
      <c r="M81" s="208"/>
      <c r="N81" s="208"/>
      <c r="O81" s="208">
        <v>50000</v>
      </c>
      <c r="P81" s="208">
        <v>350000</v>
      </c>
      <c r="Q81" s="208"/>
      <c r="R81" s="208"/>
      <c r="S81" s="208"/>
      <c r="T81" s="227"/>
      <c r="U81" s="39">
        <f t="shared" si="43"/>
        <v>100000</v>
      </c>
      <c r="V81" s="125"/>
      <c r="W81" s="125"/>
      <c r="X81" s="41">
        <f t="shared" si="49"/>
        <v>0</v>
      </c>
      <c r="Y81" s="125"/>
      <c r="Z81" s="41">
        <f t="shared" si="50"/>
        <v>0</v>
      </c>
      <c r="AA81" s="42">
        <f t="shared" si="51"/>
        <v>-100000</v>
      </c>
      <c r="AB81" s="258"/>
      <c r="AC81" s="258"/>
      <c r="AD81" s="258"/>
    </row>
    <row r="82" spans="1:30" ht="24.75" thickBot="1" x14ac:dyDescent="0.3">
      <c r="E82" s="54">
        <f>E81+1</f>
        <v>24</v>
      </c>
      <c r="F82" s="179" t="s">
        <v>88</v>
      </c>
      <c r="G82" s="180">
        <v>3132</v>
      </c>
      <c r="H82" s="182">
        <f t="shared" si="52"/>
        <v>907000</v>
      </c>
      <c r="I82" s="208"/>
      <c r="J82" s="208"/>
      <c r="K82" s="208">
        <v>907000</v>
      </c>
      <c r="L82" s="208"/>
      <c r="M82" s="208"/>
      <c r="N82" s="208"/>
      <c r="O82" s="208"/>
      <c r="P82" s="208"/>
      <c r="Q82" s="208"/>
      <c r="R82" s="208"/>
      <c r="S82" s="208"/>
      <c r="T82" s="227"/>
      <c r="U82" s="39">
        <f t="shared" si="43"/>
        <v>907000</v>
      </c>
      <c r="V82" s="125"/>
      <c r="W82" s="125"/>
      <c r="X82" s="41">
        <f t="shared" si="49"/>
        <v>0</v>
      </c>
      <c r="Y82" s="125"/>
      <c r="Z82" s="41">
        <f t="shared" si="50"/>
        <v>0</v>
      </c>
      <c r="AA82" s="42">
        <f t="shared" si="51"/>
        <v>-907000</v>
      </c>
      <c r="AB82" s="258"/>
      <c r="AC82" s="258"/>
      <c r="AD82" s="258"/>
    </row>
    <row r="83" spans="1:30" ht="24.75" thickBot="1" x14ac:dyDescent="0.3">
      <c r="A83" t="s">
        <v>354</v>
      </c>
      <c r="B83" t="s">
        <v>353</v>
      </c>
      <c r="D83" t="s">
        <v>344</v>
      </c>
      <c r="E83" s="54">
        <f t="shared" ref="E83:E94" si="53">E82+1</f>
        <v>25</v>
      </c>
      <c r="F83" s="179" t="s">
        <v>89</v>
      </c>
      <c r="G83" s="180">
        <v>3132</v>
      </c>
      <c r="H83" s="182">
        <f t="shared" si="52"/>
        <v>200000</v>
      </c>
      <c r="I83" s="208"/>
      <c r="J83" s="208"/>
      <c r="K83" s="208">
        <v>25000</v>
      </c>
      <c r="L83" s="208"/>
      <c r="M83" s="208"/>
      <c r="N83" s="208"/>
      <c r="O83" s="208"/>
      <c r="P83" s="208">
        <v>175000</v>
      </c>
      <c r="Q83" s="208"/>
      <c r="R83" s="208"/>
      <c r="S83" s="208"/>
      <c r="T83" s="227"/>
      <c r="U83" s="39">
        <f t="shared" si="43"/>
        <v>25000</v>
      </c>
      <c r="V83" s="125"/>
      <c r="W83" s="125"/>
      <c r="X83" s="41">
        <f t="shared" si="49"/>
        <v>0</v>
      </c>
      <c r="Y83" s="125">
        <v>10146</v>
      </c>
      <c r="Z83" s="41">
        <f t="shared" si="50"/>
        <v>10146</v>
      </c>
      <c r="AA83" s="42">
        <f t="shared" si="51"/>
        <v>-14854</v>
      </c>
      <c r="AB83" s="258"/>
      <c r="AC83" s="258"/>
      <c r="AD83" s="258"/>
    </row>
    <row r="84" spans="1:30" ht="48.75" thickBot="1" x14ac:dyDescent="0.3">
      <c r="A84" t="s">
        <v>345</v>
      </c>
      <c r="B84" s="102">
        <v>44644</v>
      </c>
      <c r="D84" t="s">
        <v>344</v>
      </c>
      <c r="E84" s="54">
        <f t="shared" si="53"/>
        <v>26</v>
      </c>
      <c r="F84" s="179" t="s">
        <v>90</v>
      </c>
      <c r="G84" s="180">
        <v>3132</v>
      </c>
      <c r="H84" s="182">
        <f t="shared" si="52"/>
        <v>100000</v>
      </c>
      <c r="I84" s="208"/>
      <c r="J84" s="208"/>
      <c r="K84" s="208">
        <v>50000</v>
      </c>
      <c r="L84" s="208"/>
      <c r="M84" s="208"/>
      <c r="N84" s="208"/>
      <c r="O84" s="208"/>
      <c r="P84" s="208"/>
      <c r="Q84" s="208"/>
      <c r="R84" s="208">
        <f>950000-900000</f>
        <v>50000</v>
      </c>
      <c r="S84" s="208"/>
      <c r="T84" s="227"/>
      <c r="U84" s="39">
        <f t="shared" si="43"/>
        <v>50000</v>
      </c>
      <c r="V84" s="125"/>
      <c r="W84" s="125"/>
      <c r="X84" s="41">
        <f t="shared" si="49"/>
        <v>0</v>
      </c>
      <c r="Y84" s="125">
        <f>25956</f>
        <v>25956</v>
      </c>
      <c r="Z84" s="41">
        <f t="shared" si="50"/>
        <v>25956</v>
      </c>
      <c r="AA84" s="42">
        <f t="shared" si="51"/>
        <v>-24044</v>
      </c>
      <c r="AB84" s="258"/>
      <c r="AC84" s="258"/>
      <c r="AD84" s="258"/>
    </row>
    <row r="85" spans="1:30" ht="36.75" thickBot="1" x14ac:dyDescent="0.3">
      <c r="E85" s="54">
        <f t="shared" si="53"/>
        <v>27</v>
      </c>
      <c r="F85" s="179" t="s">
        <v>91</v>
      </c>
      <c r="G85" s="180">
        <v>3132</v>
      </c>
      <c r="H85" s="182">
        <f t="shared" si="52"/>
        <v>1499000</v>
      </c>
      <c r="I85" s="208"/>
      <c r="J85" s="208"/>
      <c r="K85" s="208">
        <v>50000</v>
      </c>
      <c r="L85" s="208"/>
      <c r="M85" s="208"/>
      <c r="N85" s="208"/>
      <c r="O85" s="208"/>
      <c r="P85" s="208"/>
      <c r="Q85" s="208"/>
      <c r="R85" s="208"/>
      <c r="S85" s="208">
        <v>800000</v>
      </c>
      <c r="T85" s="227">
        <v>649000</v>
      </c>
      <c r="U85" s="39">
        <f t="shared" si="43"/>
        <v>50000</v>
      </c>
      <c r="V85" s="125"/>
      <c r="W85" s="125"/>
      <c r="X85" s="41">
        <f t="shared" si="49"/>
        <v>0</v>
      </c>
      <c r="Y85" s="125"/>
      <c r="Z85" s="41">
        <f t="shared" si="50"/>
        <v>0</v>
      </c>
      <c r="AA85" s="42">
        <f t="shared" si="51"/>
        <v>-50000</v>
      </c>
      <c r="AB85" s="258"/>
      <c r="AC85" s="258"/>
      <c r="AD85" s="258"/>
    </row>
    <row r="86" spans="1:30" ht="24.75" thickBot="1" x14ac:dyDescent="0.3">
      <c r="A86" t="s">
        <v>223</v>
      </c>
      <c r="B86" s="102">
        <v>44592</v>
      </c>
      <c r="D86" t="s">
        <v>222</v>
      </c>
      <c r="E86" s="54">
        <f t="shared" si="53"/>
        <v>28</v>
      </c>
      <c r="F86" s="179" t="s">
        <v>92</v>
      </c>
      <c r="G86" s="180">
        <v>3132</v>
      </c>
      <c r="H86" s="182">
        <f t="shared" si="52"/>
        <v>112000</v>
      </c>
      <c r="I86" s="208"/>
      <c r="J86" s="208"/>
      <c r="K86" s="208">
        <v>25000</v>
      </c>
      <c r="L86" s="208"/>
      <c r="M86" s="208"/>
      <c r="N86" s="208"/>
      <c r="O86" s="208"/>
      <c r="P86" s="208"/>
      <c r="Q86" s="208"/>
      <c r="R86" s="208">
        <v>87000</v>
      </c>
      <c r="S86" s="208"/>
      <c r="T86" s="227"/>
      <c r="U86" s="39">
        <f t="shared" si="43"/>
        <v>25000</v>
      </c>
      <c r="V86" s="126"/>
      <c r="W86" s="126"/>
      <c r="X86" s="106">
        <f t="shared" si="49"/>
        <v>0</v>
      </c>
      <c r="Y86" s="126">
        <f>5900</f>
        <v>5900</v>
      </c>
      <c r="Z86" s="41">
        <f t="shared" si="50"/>
        <v>5900</v>
      </c>
      <c r="AA86" s="42">
        <f t="shared" si="51"/>
        <v>-19100</v>
      </c>
      <c r="AB86" s="258"/>
      <c r="AC86" s="258"/>
      <c r="AD86" s="258"/>
    </row>
    <row r="87" spans="1:30" ht="24.75" thickBot="1" x14ac:dyDescent="0.3">
      <c r="A87" t="s">
        <v>224</v>
      </c>
      <c r="B87" s="102">
        <v>44592</v>
      </c>
      <c r="D87" t="s">
        <v>222</v>
      </c>
      <c r="E87" s="54">
        <f t="shared" si="53"/>
        <v>29</v>
      </c>
      <c r="F87" s="190" t="s">
        <v>93</v>
      </c>
      <c r="G87" s="180">
        <v>3132</v>
      </c>
      <c r="H87" s="182">
        <f t="shared" si="52"/>
        <v>112000</v>
      </c>
      <c r="I87" s="208">
        <v>25000</v>
      </c>
      <c r="J87" s="208"/>
      <c r="K87" s="208"/>
      <c r="L87" s="208"/>
      <c r="M87" s="208"/>
      <c r="N87" s="208"/>
      <c r="O87" s="208"/>
      <c r="P87" s="208"/>
      <c r="Q87" s="208"/>
      <c r="R87" s="208">
        <v>87000</v>
      </c>
      <c r="S87" s="208"/>
      <c r="T87" s="227"/>
      <c r="U87" s="39">
        <f t="shared" si="43"/>
        <v>25000</v>
      </c>
      <c r="V87" s="126">
        <f>5900</f>
        <v>5900</v>
      </c>
      <c r="W87" s="126">
        <f>5900</f>
        <v>5900</v>
      </c>
      <c r="X87" s="106">
        <f t="shared" si="49"/>
        <v>0</v>
      </c>
      <c r="Y87" s="126">
        <f>5900</f>
        <v>5900</v>
      </c>
      <c r="Z87" s="41">
        <f t="shared" si="50"/>
        <v>0</v>
      </c>
      <c r="AA87" s="42">
        <f t="shared" si="51"/>
        <v>-19100</v>
      </c>
      <c r="AB87" s="258"/>
      <c r="AC87" s="258"/>
      <c r="AD87" s="258"/>
    </row>
    <row r="88" spans="1:30" ht="36.75" thickBot="1" x14ac:dyDescent="0.3">
      <c r="E88" s="54">
        <f t="shared" si="53"/>
        <v>30</v>
      </c>
      <c r="F88" s="60" t="s">
        <v>94</v>
      </c>
      <c r="G88" s="56">
        <v>3132</v>
      </c>
      <c r="H88" s="58">
        <f t="shared" si="52"/>
        <v>0</v>
      </c>
      <c r="I88" s="208"/>
      <c r="J88" s="208"/>
      <c r="K88" s="208"/>
      <c r="L88" s="208"/>
      <c r="M88" s="208"/>
      <c r="N88" s="208"/>
      <c r="O88" s="208"/>
      <c r="P88" s="208"/>
      <c r="Q88" s="208"/>
      <c r="R88" s="208"/>
      <c r="S88" s="208"/>
      <c r="T88" s="227"/>
      <c r="U88" s="39">
        <f t="shared" si="43"/>
        <v>0</v>
      </c>
      <c r="V88" s="64"/>
      <c r="W88" s="64"/>
      <c r="X88" s="41">
        <f t="shared" si="49"/>
        <v>0</v>
      </c>
      <c r="Y88" s="125"/>
      <c r="Z88" s="41">
        <f t="shared" si="50"/>
        <v>0</v>
      </c>
      <c r="AA88" s="42">
        <f t="shared" si="51"/>
        <v>0</v>
      </c>
      <c r="AB88" s="258"/>
      <c r="AC88" s="258"/>
      <c r="AD88" s="258"/>
    </row>
    <row r="89" spans="1:30" ht="24.75" thickBot="1" x14ac:dyDescent="0.3">
      <c r="E89" s="54">
        <f t="shared" si="53"/>
        <v>31</v>
      </c>
      <c r="F89" s="60" t="s">
        <v>95</v>
      </c>
      <c r="G89" s="56">
        <v>3132</v>
      </c>
      <c r="H89" s="58">
        <f t="shared" si="52"/>
        <v>50000</v>
      </c>
      <c r="I89" s="208">
        <v>25000</v>
      </c>
      <c r="J89" s="208"/>
      <c r="K89" s="208"/>
      <c r="L89" s="208"/>
      <c r="M89" s="208"/>
      <c r="N89" s="208"/>
      <c r="O89" s="208"/>
      <c r="P89" s="208"/>
      <c r="Q89" s="208"/>
      <c r="R89" s="208">
        <v>25000</v>
      </c>
      <c r="S89" s="208"/>
      <c r="T89" s="227"/>
      <c r="U89" s="39">
        <f t="shared" si="43"/>
        <v>25000</v>
      </c>
      <c r="V89" s="64"/>
      <c r="W89" s="64"/>
      <c r="X89" s="41">
        <f t="shared" si="49"/>
        <v>0</v>
      </c>
      <c r="Y89" s="125"/>
      <c r="Z89" s="41">
        <f t="shared" si="50"/>
        <v>0</v>
      </c>
      <c r="AA89" s="42">
        <f t="shared" si="51"/>
        <v>-25000</v>
      </c>
      <c r="AB89" s="258"/>
      <c r="AC89" s="258"/>
      <c r="AD89" s="258"/>
    </row>
    <row r="90" spans="1:30" ht="24.75" thickBot="1" x14ac:dyDescent="0.3">
      <c r="E90" s="54">
        <f t="shared" si="53"/>
        <v>32</v>
      </c>
      <c r="F90" s="60" t="s">
        <v>96</v>
      </c>
      <c r="G90" s="56">
        <v>3132</v>
      </c>
      <c r="H90" s="57">
        <v>100000</v>
      </c>
      <c r="I90" s="208">
        <v>25000</v>
      </c>
      <c r="J90" s="208"/>
      <c r="K90" s="208"/>
      <c r="L90" s="208"/>
      <c r="M90" s="208"/>
      <c r="N90" s="208"/>
      <c r="O90" s="208"/>
      <c r="P90" s="208"/>
      <c r="Q90" s="208"/>
      <c r="R90" s="208">
        <v>75000</v>
      </c>
      <c r="S90" s="208"/>
      <c r="T90" s="227"/>
      <c r="U90" s="39">
        <f t="shared" si="43"/>
        <v>25000</v>
      </c>
      <c r="V90" s="64"/>
      <c r="W90" s="64"/>
      <c r="X90" s="41">
        <f t="shared" si="49"/>
        <v>0</v>
      </c>
      <c r="Y90" s="125"/>
      <c r="Z90" s="41">
        <f t="shared" si="50"/>
        <v>0</v>
      </c>
      <c r="AA90" s="42">
        <f t="shared" si="51"/>
        <v>-25000</v>
      </c>
      <c r="AB90" s="258"/>
      <c r="AC90" s="258"/>
      <c r="AD90" s="258"/>
    </row>
    <row r="91" spans="1:30" ht="48.75" thickBot="1" x14ac:dyDescent="0.3">
      <c r="A91" s="122" t="s">
        <v>239</v>
      </c>
      <c r="B91" s="123">
        <v>44229</v>
      </c>
      <c r="D91" t="s">
        <v>238</v>
      </c>
      <c r="E91" s="54">
        <f t="shared" si="53"/>
        <v>33</v>
      </c>
      <c r="F91" s="190" t="s">
        <v>97</v>
      </c>
      <c r="G91" s="180">
        <v>3132</v>
      </c>
      <c r="H91" s="181">
        <v>49000</v>
      </c>
      <c r="I91" s="208">
        <f>15000+1450</f>
        <v>16450</v>
      </c>
      <c r="J91" s="208"/>
      <c r="K91" s="208"/>
      <c r="L91" s="208"/>
      <c r="M91" s="208"/>
      <c r="N91" s="208"/>
      <c r="O91" s="208"/>
      <c r="P91" s="208"/>
      <c r="Q91" s="208"/>
      <c r="R91" s="208">
        <f>34000-1450</f>
        <v>32550</v>
      </c>
      <c r="S91" s="208"/>
      <c r="T91" s="227"/>
      <c r="U91" s="39">
        <f t="shared" si="43"/>
        <v>16450</v>
      </c>
      <c r="V91" s="125">
        <f>12176+4272</f>
        <v>16448</v>
      </c>
      <c r="W91" s="125">
        <f>12176+4272</f>
        <v>16448</v>
      </c>
      <c r="X91" s="41">
        <f t="shared" si="49"/>
        <v>0</v>
      </c>
      <c r="Y91" s="125">
        <f>12176+4272</f>
        <v>16448</v>
      </c>
      <c r="Z91" s="41">
        <f t="shared" si="50"/>
        <v>0</v>
      </c>
      <c r="AA91" s="42">
        <f t="shared" si="51"/>
        <v>-2</v>
      </c>
      <c r="AB91" s="258"/>
      <c r="AC91" s="258"/>
      <c r="AD91" s="258"/>
    </row>
    <row r="92" spans="1:30" ht="39.75" customHeight="1" thickBot="1" x14ac:dyDescent="0.3">
      <c r="A92" t="s">
        <v>266</v>
      </c>
      <c r="B92" t="s">
        <v>265</v>
      </c>
      <c r="D92" t="s">
        <v>264</v>
      </c>
      <c r="E92" s="54">
        <f t="shared" si="53"/>
        <v>34</v>
      </c>
      <c r="F92" s="190" t="s">
        <v>98</v>
      </c>
      <c r="G92" s="180">
        <v>3132</v>
      </c>
      <c r="H92" s="181">
        <v>400000</v>
      </c>
      <c r="I92" s="208">
        <f t="shared" ref="I92" si="54">50000-1450</f>
        <v>48550</v>
      </c>
      <c r="J92" s="208"/>
      <c r="K92" s="208"/>
      <c r="L92" s="208">
        <v>350000</v>
      </c>
      <c r="M92" s="208"/>
      <c r="N92" s="208"/>
      <c r="O92" s="208"/>
      <c r="P92" s="208"/>
      <c r="Q92" s="208"/>
      <c r="R92" s="208">
        <f>1450</f>
        <v>1450</v>
      </c>
      <c r="S92" s="208"/>
      <c r="T92" s="227"/>
      <c r="U92" s="39">
        <f t="shared" si="43"/>
        <v>398550</v>
      </c>
      <c r="V92" s="125"/>
      <c r="W92" s="125"/>
      <c r="X92" s="41">
        <f t="shared" si="49"/>
        <v>0</v>
      </c>
      <c r="Y92" s="125">
        <f>15318+4272</f>
        <v>19590</v>
      </c>
      <c r="Z92" s="41">
        <f t="shared" si="50"/>
        <v>19590</v>
      </c>
      <c r="AA92" s="42">
        <f t="shared" si="51"/>
        <v>-378960</v>
      </c>
      <c r="AB92" s="258"/>
      <c r="AC92" s="258"/>
      <c r="AD92" s="258"/>
    </row>
    <row r="93" spans="1:30" ht="23.25" thickBot="1" x14ac:dyDescent="0.3">
      <c r="E93" s="54">
        <f t="shared" si="53"/>
        <v>35</v>
      </c>
      <c r="F93" s="191" t="s">
        <v>271</v>
      </c>
      <c r="G93" s="180">
        <v>3132</v>
      </c>
      <c r="H93" s="181">
        <v>400000</v>
      </c>
      <c r="I93" s="208">
        <v>50000</v>
      </c>
      <c r="J93" s="208">
        <v>150000</v>
      </c>
      <c r="K93" s="208"/>
      <c r="L93" s="208"/>
      <c r="M93" s="208"/>
      <c r="N93" s="208"/>
      <c r="O93" s="208"/>
      <c r="P93" s="208"/>
      <c r="Q93" s="208"/>
      <c r="R93" s="208"/>
      <c r="S93" s="208"/>
      <c r="T93" s="227"/>
      <c r="U93" s="39">
        <f t="shared" si="43"/>
        <v>200000</v>
      </c>
      <c r="V93" s="148"/>
      <c r="W93" s="148"/>
      <c r="X93" s="41">
        <f t="shared" si="49"/>
        <v>0</v>
      </c>
      <c r="Y93" s="148"/>
      <c r="Z93" s="41">
        <f t="shared" si="50"/>
        <v>0</v>
      </c>
      <c r="AA93" s="42">
        <f t="shared" si="51"/>
        <v>-200000</v>
      </c>
      <c r="AB93" s="258"/>
      <c r="AC93" s="258"/>
      <c r="AD93" s="258"/>
    </row>
    <row r="94" spans="1:30" ht="34.5" thickBot="1" x14ac:dyDescent="0.3">
      <c r="E94" s="54">
        <f t="shared" si="53"/>
        <v>36</v>
      </c>
      <c r="F94" s="191" t="s">
        <v>272</v>
      </c>
      <c r="G94" s="180">
        <v>3132</v>
      </c>
      <c r="H94" s="181">
        <v>400000</v>
      </c>
      <c r="I94" s="208"/>
      <c r="J94" s="208">
        <v>100000</v>
      </c>
      <c r="K94" s="208"/>
      <c r="L94" s="208"/>
      <c r="M94" s="208"/>
      <c r="N94" s="208"/>
      <c r="O94" s="208"/>
      <c r="P94" s="208"/>
      <c r="Q94" s="208"/>
      <c r="R94" s="208"/>
      <c r="S94" s="208"/>
      <c r="T94" s="227"/>
      <c r="U94" s="39">
        <f t="shared" si="43"/>
        <v>100000</v>
      </c>
      <c r="V94" s="148"/>
      <c r="W94" s="148"/>
      <c r="X94" s="41">
        <f t="shared" si="49"/>
        <v>0</v>
      </c>
      <c r="Y94" s="148"/>
      <c r="Z94" s="41">
        <f t="shared" si="50"/>
        <v>0</v>
      </c>
      <c r="AA94" s="42">
        <f t="shared" si="51"/>
        <v>-100000</v>
      </c>
      <c r="AB94" s="258"/>
      <c r="AC94" s="258"/>
      <c r="AD94" s="258"/>
    </row>
    <row r="95" spans="1:30" ht="15.75" thickBot="1" x14ac:dyDescent="0.3">
      <c r="E95" s="478" t="s">
        <v>99</v>
      </c>
      <c r="F95" s="479"/>
      <c r="G95" s="479"/>
      <c r="H95" s="53">
        <f>SUM(H96:H122)</f>
        <v>12350386</v>
      </c>
      <c r="I95" s="53">
        <f>SUM(I96:I122)-I116-I100</f>
        <v>1327000</v>
      </c>
      <c r="J95" s="53">
        <f t="shared" ref="J95:T95" si="55">SUM(J96:J122)-J116-J100</f>
        <v>2936000</v>
      </c>
      <c r="K95" s="53">
        <f t="shared" si="55"/>
        <v>1554500</v>
      </c>
      <c r="L95" s="53">
        <f t="shared" si="55"/>
        <v>2367000</v>
      </c>
      <c r="M95" s="53">
        <f t="shared" si="55"/>
        <v>697886</v>
      </c>
      <c r="N95" s="53">
        <f t="shared" si="55"/>
        <v>0</v>
      </c>
      <c r="O95" s="53">
        <f t="shared" si="55"/>
        <v>417000</v>
      </c>
      <c r="P95" s="53">
        <f t="shared" si="55"/>
        <v>850000</v>
      </c>
      <c r="Q95" s="53">
        <f t="shared" si="55"/>
        <v>50000</v>
      </c>
      <c r="R95" s="53">
        <f t="shared" si="55"/>
        <v>1511000</v>
      </c>
      <c r="S95" s="53">
        <f t="shared" si="55"/>
        <v>0</v>
      </c>
      <c r="T95" s="226">
        <f t="shared" si="55"/>
        <v>0</v>
      </c>
      <c r="U95" s="39">
        <f t="shared" si="43"/>
        <v>9299386</v>
      </c>
      <c r="V95" s="53">
        <f t="shared" ref="V95:AA95" si="56">SUM(V96:V122)</f>
        <v>1240277.74</v>
      </c>
      <c r="W95" s="53">
        <f t="shared" si="56"/>
        <v>1240277.74</v>
      </c>
      <c r="X95" s="53">
        <f t="shared" si="56"/>
        <v>0</v>
      </c>
      <c r="Y95" s="53">
        <f t="shared" si="56"/>
        <v>2805157.13</v>
      </c>
      <c r="Z95" s="53">
        <f t="shared" si="56"/>
        <v>1564879.39</v>
      </c>
      <c r="AA95" s="53">
        <f t="shared" si="56"/>
        <v>-6494228.8700000001</v>
      </c>
      <c r="AB95" s="263"/>
      <c r="AC95" s="263"/>
      <c r="AD95" s="263"/>
    </row>
    <row r="96" spans="1:30" ht="36.75" thickBot="1" x14ac:dyDescent="0.3">
      <c r="E96" s="54">
        <f>E94+1</f>
        <v>37</v>
      </c>
      <c r="F96" s="55" t="s">
        <v>100</v>
      </c>
      <c r="G96" s="56">
        <v>3132</v>
      </c>
      <c r="H96" s="57">
        <f t="shared" ref="H96:H126" si="57">SUM(I96:T96)</f>
        <v>80000</v>
      </c>
      <c r="I96" s="59"/>
      <c r="J96" s="59"/>
      <c r="K96" s="58">
        <v>80000</v>
      </c>
      <c r="L96" s="59"/>
      <c r="M96" s="59"/>
      <c r="N96" s="59"/>
      <c r="O96" s="59"/>
      <c r="P96" s="59"/>
      <c r="Q96" s="59"/>
      <c r="R96" s="59"/>
      <c r="S96" s="59"/>
      <c r="T96" s="229"/>
      <c r="U96" s="39">
        <f t="shared" si="43"/>
        <v>80000</v>
      </c>
      <c r="V96" s="64"/>
      <c r="W96" s="64"/>
      <c r="X96" s="41">
        <f t="shared" ref="X96:X121" si="58">W96-V96</f>
        <v>0</v>
      </c>
      <c r="Y96" s="64"/>
      <c r="Z96" s="41">
        <f t="shared" ref="Z96:Z121" si="59">Y96-V96</f>
        <v>0</v>
      </c>
      <c r="AA96" s="42">
        <f t="shared" ref="AA96:AA122" si="60">Y96-U96</f>
        <v>-80000</v>
      </c>
      <c r="AB96" s="258"/>
      <c r="AC96" s="258"/>
      <c r="AD96" s="258"/>
    </row>
    <row r="97" spans="1:31" ht="36.75" thickBot="1" x14ac:dyDescent="0.3">
      <c r="E97" s="54">
        <f>E96+1</f>
        <v>38</v>
      </c>
      <c r="F97" s="179" t="s">
        <v>101</v>
      </c>
      <c r="G97" s="180">
        <v>3132</v>
      </c>
      <c r="H97" s="181">
        <f t="shared" si="57"/>
        <v>220000</v>
      </c>
      <c r="I97" s="183"/>
      <c r="J97" s="183"/>
      <c r="K97" s="182">
        <v>220000</v>
      </c>
      <c r="L97" s="183"/>
      <c r="M97" s="183"/>
      <c r="N97" s="183"/>
      <c r="O97" s="183"/>
      <c r="P97" s="183"/>
      <c r="Q97" s="183"/>
      <c r="R97" s="183"/>
      <c r="S97" s="183"/>
      <c r="T97" s="229"/>
      <c r="U97" s="39">
        <f t="shared" si="43"/>
        <v>220000</v>
      </c>
      <c r="V97" s="125"/>
      <c r="W97" s="125"/>
      <c r="X97" s="41">
        <f t="shared" si="58"/>
        <v>0</v>
      </c>
      <c r="Y97" s="125"/>
      <c r="Z97" s="41">
        <f t="shared" si="59"/>
        <v>0</v>
      </c>
      <c r="AA97" s="42">
        <f t="shared" si="60"/>
        <v>-220000</v>
      </c>
      <c r="AB97" s="258"/>
      <c r="AC97" s="258"/>
      <c r="AD97" s="258"/>
    </row>
    <row r="98" spans="1:31" ht="48.75" thickBot="1" x14ac:dyDescent="0.3">
      <c r="A98" t="s">
        <v>341</v>
      </c>
      <c r="B98" s="102">
        <v>44512</v>
      </c>
      <c r="D98" t="s">
        <v>342</v>
      </c>
      <c r="E98" s="54">
        <f t="shared" ref="E98:E99" si="61">E97+1</f>
        <v>39</v>
      </c>
      <c r="F98" s="179" t="s">
        <v>102</v>
      </c>
      <c r="G98" s="180">
        <v>3132</v>
      </c>
      <c r="H98" s="181">
        <f t="shared" si="57"/>
        <v>760000</v>
      </c>
      <c r="I98" s="183"/>
      <c r="J98" s="182">
        <v>760000</v>
      </c>
      <c r="K98" s="183"/>
      <c r="L98" s="183"/>
      <c r="M98" s="183"/>
      <c r="N98" s="183"/>
      <c r="O98" s="183"/>
      <c r="P98" s="183"/>
      <c r="Q98" s="183"/>
      <c r="R98" s="183"/>
      <c r="S98" s="183"/>
      <c r="T98" s="229"/>
      <c r="U98" s="39">
        <f t="shared" si="43"/>
        <v>760000</v>
      </c>
      <c r="V98" s="125"/>
      <c r="W98" s="125"/>
      <c r="X98" s="41">
        <f t="shared" si="58"/>
        <v>0</v>
      </c>
      <c r="Y98" s="125">
        <f>199248+2916.57+369969.3+91628.01-199248-2916.57-369969.3-91628.01+410384.87+322786.44</f>
        <v>733171.31</v>
      </c>
      <c r="Z98" s="41">
        <f t="shared" si="59"/>
        <v>733171.31</v>
      </c>
      <c r="AA98" s="42">
        <f t="shared" si="60"/>
        <v>-26828.689999999944</v>
      </c>
      <c r="AB98" s="258"/>
      <c r="AC98" s="258">
        <f>322786.44+410384.87</f>
        <v>733171.31</v>
      </c>
      <c r="AD98" s="258"/>
      <c r="AE98" s="103">
        <f>H98-AC98</f>
        <v>26828.689999999944</v>
      </c>
    </row>
    <row r="99" spans="1:31" ht="36.75" thickBot="1" x14ac:dyDescent="0.3">
      <c r="D99" t="s">
        <v>237</v>
      </c>
      <c r="E99" s="54">
        <f t="shared" si="61"/>
        <v>40</v>
      </c>
      <c r="F99" s="179" t="s">
        <v>103</v>
      </c>
      <c r="G99" s="180">
        <v>3132</v>
      </c>
      <c r="H99" s="181">
        <f t="shared" si="57"/>
        <v>1270000</v>
      </c>
      <c r="I99" s="182">
        <v>630000</v>
      </c>
      <c r="J99" s="182">
        <v>640000</v>
      </c>
      <c r="K99" s="183"/>
      <c r="L99" s="183"/>
      <c r="M99" s="183"/>
      <c r="N99" s="183"/>
      <c r="O99" s="183"/>
      <c r="P99" s="183"/>
      <c r="Q99" s="183"/>
      <c r="R99" s="183"/>
      <c r="S99" s="183"/>
      <c r="T99" s="229"/>
      <c r="U99" s="39">
        <f t="shared" si="43"/>
        <v>1270000</v>
      </c>
      <c r="V99" s="125"/>
      <c r="W99" s="125"/>
      <c r="X99" s="41">
        <f t="shared" si="58"/>
        <v>0</v>
      </c>
      <c r="Y99" s="125">
        <f>616807.2+7991.74</f>
        <v>624798.93999999994</v>
      </c>
      <c r="Z99" s="41">
        <f t="shared" si="59"/>
        <v>624798.93999999994</v>
      </c>
      <c r="AA99" s="42">
        <f t="shared" si="60"/>
        <v>-645201.06000000006</v>
      </c>
      <c r="AB99" s="258"/>
      <c r="AC99" s="258"/>
      <c r="AD99" s="258"/>
      <c r="AE99">
        <f>17941-7233.01</f>
        <v>10707.99</v>
      </c>
    </row>
    <row r="100" spans="1:31" ht="23.25" thickBot="1" x14ac:dyDescent="0.3">
      <c r="E100" s="54"/>
      <c r="F100" s="185" t="s">
        <v>270</v>
      </c>
      <c r="G100" s="180"/>
      <c r="H100" s="181">
        <f t="shared" si="57"/>
        <v>640000</v>
      </c>
      <c r="I100" s="188"/>
      <c r="J100" s="189">
        <v>640000</v>
      </c>
      <c r="K100" s="188"/>
      <c r="L100" s="188"/>
      <c r="M100" s="188"/>
      <c r="N100" s="188"/>
      <c r="O100" s="188"/>
      <c r="P100" s="188"/>
      <c r="Q100" s="188"/>
      <c r="R100" s="188"/>
      <c r="S100" s="188"/>
      <c r="T100" s="230"/>
      <c r="U100" s="39">
        <f t="shared" si="43"/>
        <v>640000</v>
      </c>
      <c r="V100" s="125"/>
      <c r="W100" s="125"/>
      <c r="X100" s="41"/>
      <c r="Y100" s="125"/>
      <c r="Z100" s="41"/>
      <c r="AA100" s="42"/>
      <c r="AB100" s="258"/>
      <c r="AC100" s="258"/>
      <c r="AD100" s="258"/>
      <c r="AE100">
        <f>AE99*0.95</f>
        <v>10172.590499999998</v>
      </c>
    </row>
    <row r="101" spans="1:31" ht="36.75" thickBot="1" x14ac:dyDescent="0.3">
      <c r="E101" s="54">
        <f>E99+1</f>
        <v>41</v>
      </c>
      <c r="F101" s="179" t="s">
        <v>104</v>
      </c>
      <c r="G101" s="180">
        <v>3132</v>
      </c>
      <c r="H101" s="181">
        <f t="shared" si="57"/>
        <v>500000</v>
      </c>
      <c r="I101" s="183"/>
      <c r="J101" s="183"/>
      <c r="K101" s="183"/>
      <c r="L101" s="183"/>
      <c r="M101" s="182">
        <v>500000</v>
      </c>
      <c r="N101" s="183"/>
      <c r="O101" s="183"/>
      <c r="P101" s="183"/>
      <c r="Q101" s="183"/>
      <c r="R101" s="183"/>
      <c r="S101" s="183"/>
      <c r="T101" s="229"/>
      <c r="U101" s="39">
        <f t="shared" si="43"/>
        <v>500000</v>
      </c>
      <c r="V101" s="125"/>
      <c r="W101" s="125"/>
      <c r="X101" s="41">
        <f t="shared" si="58"/>
        <v>0</v>
      </c>
      <c r="Y101" s="125"/>
      <c r="Z101" s="41">
        <f t="shared" si="59"/>
        <v>0</v>
      </c>
      <c r="AA101" s="42">
        <f t="shared" si="60"/>
        <v>-500000</v>
      </c>
      <c r="AB101" s="258"/>
      <c r="AC101" s="258"/>
      <c r="AD101" s="258"/>
    </row>
    <row r="102" spans="1:31" ht="36.75" thickBot="1" x14ac:dyDescent="0.3">
      <c r="A102" t="s">
        <v>235</v>
      </c>
      <c r="D102" t="s">
        <v>229</v>
      </c>
      <c r="E102" s="54">
        <f>E101+1</f>
        <v>42</v>
      </c>
      <c r="F102" s="55" t="s">
        <v>105</v>
      </c>
      <c r="G102" s="56">
        <v>3132</v>
      </c>
      <c r="H102" s="57">
        <f t="shared" si="57"/>
        <v>700000</v>
      </c>
      <c r="I102" s="59"/>
      <c r="J102" s="58">
        <v>700000</v>
      </c>
      <c r="K102" s="59"/>
      <c r="L102" s="59"/>
      <c r="M102" s="59"/>
      <c r="N102" s="59"/>
      <c r="O102" s="59"/>
      <c r="P102" s="59"/>
      <c r="Q102" s="59"/>
      <c r="R102" s="59"/>
      <c r="S102" s="59"/>
      <c r="T102" s="229"/>
      <c r="U102" s="39">
        <f t="shared" si="43"/>
        <v>700000</v>
      </c>
      <c r="V102" s="125">
        <f>669672+8734.09</f>
        <v>678406.09</v>
      </c>
      <c r="W102" s="125">
        <f>669672+8734.09</f>
        <v>678406.09</v>
      </c>
      <c r="X102" s="41">
        <f t="shared" si="58"/>
        <v>0</v>
      </c>
      <c r="Y102" s="125">
        <f>669672+8734.09</f>
        <v>678406.09</v>
      </c>
      <c r="Z102" s="41">
        <f t="shared" si="59"/>
        <v>0</v>
      </c>
      <c r="AA102" s="42">
        <f t="shared" si="60"/>
        <v>-21593.910000000033</v>
      </c>
      <c r="AB102" s="258"/>
      <c r="AC102" s="258"/>
      <c r="AD102" s="258"/>
    </row>
    <row r="103" spans="1:31" ht="36.75" thickBot="1" x14ac:dyDescent="0.3">
      <c r="E103" s="54">
        <f t="shared" ref="E103:E115" si="62">E102+1</f>
        <v>43</v>
      </c>
      <c r="F103" s="55" t="s">
        <v>106</v>
      </c>
      <c r="G103" s="56">
        <v>3132</v>
      </c>
      <c r="H103" s="57">
        <f t="shared" si="57"/>
        <v>450000</v>
      </c>
      <c r="I103" s="59"/>
      <c r="J103" s="59"/>
      <c r="K103" s="59"/>
      <c r="L103" s="58">
        <v>450000</v>
      </c>
      <c r="M103" s="59"/>
      <c r="N103" s="59"/>
      <c r="O103" s="59"/>
      <c r="P103" s="59"/>
      <c r="Q103" s="59"/>
      <c r="R103" s="59"/>
      <c r="S103" s="59"/>
      <c r="T103" s="229"/>
      <c r="U103" s="39">
        <f t="shared" si="43"/>
        <v>450000</v>
      </c>
      <c r="V103" s="125"/>
      <c r="W103" s="125"/>
      <c r="X103" s="41">
        <f t="shared" si="58"/>
        <v>0</v>
      </c>
      <c r="Y103" s="125"/>
      <c r="Z103" s="41">
        <f t="shared" si="59"/>
        <v>0</v>
      </c>
      <c r="AA103" s="42">
        <f t="shared" si="60"/>
        <v>-450000</v>
      </c>
      <c r="AB103" s="258"/>
      <c r="AC103" s="258"/>
      <c r="AD103" s="258"/>
    </row>
    <row r="104" spans="1:31" ht="48.75" thickBot="1" x14ac:dyDescent="0.3">
      <c r="A104" t="s">
        <v>213</v>
      </c>
      <c r="B104" s="120">
        <v>44587</v>
      </c>
      <c r="D104" t="s">
        <v>211</v>
      </c>
      <c r="E104" s="54">
        <f t="shared" si="62"/>
        <v>44</v>
      </c>
      <c r="F104" s="179" t="s">
        <v>107</v>
      </c>
      <c r="G104" s="180">
        <v>3132</v>
      </c>
      <c r="H104" s="181">
        <f t="shared" si="57"/>
        <v>1537000</v>
      </c>
      <c r="I104" s="182">
        <v>50000</v>
      </c>
      <c r="J104" s="183"/>
      <c r="K104" s="183"/>
      <c r="L104" s="182">
        <v>1487000</v>
      </c>
      <c r="M104" s="183"/>
      <c r="N104" s="183"/>
      <c r="O104" s="183"/>
      <c r="P104" s="183"/>
      <c r="Q104" s="183"/>
      <c r="R104" s="183"/>
      <c r="S104" s="183"/>
      <c r="T104" s="229"/>
      <c r="U104" s="39">
        <f t="shared" si="43"/>
        <v>1537000</v>
      </c>
      <c r="V104" s="125"/>
      <c r="W104" s="125"/>
      <c r="X104" s="41">
        <f t="shared" si="58"/>
        <v>0</v>
      </c>
      <c r="Y104" s="125"/>
      <c r="Z104" s="41">
        <f t="shared" si="59"/>
        <v>0</v>
      </c>
      <c r="AA104" s="42">
        <f t="shared" si="60"/>
        <v>-1537000</v>
      </c>
      <c r="AB104" s="258"/>
      <c r="AC104" s="258"/>
      <c r="AD104" s="258"/>
    </row>
    <row r="105" spans="1:31" ht="58.5" customHeight="1" thickBot="1" x14ac:dyDescent="0.3">
      <c r="B105" s="121"/>
      <c r="D105" s="118" t="s">
        <v>214</v>
      </c>
      <c r="E105" s="54">
        <f t="shared" si="62"/>
        <v>45</v>
      </c>
      <c r="F105" s="179" t="s">
        <v>108</v>
      </c>
      <c r="G105" s="180">
        <v>3132</v>
      </c>
      <c r="H105" s="181">
        <f t="shared" si="57"/>
        <v>207000</v>
      </c>
      <c r="I105" s="182">
        <v>207000</v>
      </c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  <c r="T105" s="229"/>
      <c r="U105" s="39">
        <f t="shared" si="43"/>
        <v>207000</v>
      </c>
      <c r="V105" s="126">
        <f>193836.23+2518.01-470.28</f>
        <v>195883.96000000002</v>
      </c>
      <c r="W105" s="126">
        <f>193836.23+2047.73</f>
        <v>195883.96000000002</v>
      </c>
      <c r="X105" s="41">
        <f t="shared" si="58"/>
        <v>0</v>
      </c>
      <c r="Y105" s="126">
        <f>193836.23+2047.73</f>
        <v>195883.96000000002</v>
      </c>
      <c r="Z105" s="41">
        <f t="shared" si="59"/>
        <v>0</v>
      </c>
      <c r="AA105" s="42">
        <f t="shared" si="60"/>
        <v>-11116.039999999979</v>
      </c>
      <c r="AB105" s="258"/>
      <c r="AC105" s="258"/>
      <c r="AD105" s="258"/>
    </row>
    <row r="106" spans="1:31" ht="48.75" thickBot="1" x14ac:dyDescent="0.3">
      <c r="A106" t="s">
        <v>221</v>
      </c>
      <c r="B106" s="120">
        <v>44592</v>
      </c>
      <c r="D106" t="s">
        <v>220</v>
      </c>
      <c r="E106" s="54">
        <f t="shared" si="62"/>
        <v>46</v>
      </c>
      <c r="F106" s="179" t="s">
        <v>109</v>
      </c>
      <c r="G106" s="180">
        <v>3132</v>
      </c>
      <c r="H106" s="181">
        <f t="shared" si="57"/>
        <v>397000</v>
      </c>
      <c r="I106" s="182">
        <v>397000</v>
      </c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229"/>
      <c r="U106" s="39">
        <f t="shared" si="43"/>
        <v>397000</v>
      </c>
      <c r="V106" s="125">
        <f>307179.6+4022.88</f>
        <v>311202.48</v>
      </c>
      <c r="W106" s="125">
        <f>307179.6+4022.88</f>
        <v>311202.48</v>
      </c>
      <c r="X106" s="41">
        <f t="shared" si="58"/>
        <v>0</v>
      </c>
      <c r="Y106" s="125">
        <f>307179.6+4022.88</f>
        <v>311202.48</v>
      </c>
      <c r="Z106" s="41">
        <f t="shared" si="59"/>
        <v>0</v>
      </c>
      <c r="AA106" s="42">
        <f t="shared" si="60"/>
        <v>-85797.520000000019</v>
      </c>
      <c r="AB106" s="258"/>
      <c r="AC106" s="258"/>
      <c r="AD106" s="258"/>
    </row>
    <row r="107" spans="1:31" ht="36.75" thickBot="1" x14ac:dyDescent="0.3">
      <c r="D107" t="s">
        <v>220</v>
      </c>
      <c r="E107" s="54">
        <f t="shared" si="62"/>
        <v>47</v>
      </c>
      <c r="F107" s="179" t="s">
        <v>110</v>
      </c>
      <c r="G107" s="180">
        <v>3132</v>
      </c>
      <c r="H107" s="181">
        <f t="shared" si="57"/>
        <v>555000</v>
      </c>
      <c r="I107" s="183"/>
      <c r="J107" s="183"/>
      <c r="K107" s="182">
        <v>555000</v>
      </c>
      <c r="L107" s="183"/>
      <c r="M107" s="183"/>
      <c r="N107" s="183"/>
      <c r="O107" s="183"/>
      <c r="P107" s="183"/>
      <c r="Q107" s="183"/>
      <c r="R107" s="183"/>
      <c r="S107" s="183"/>
      <c r="T107" s="229"/>
      <c r="U107" s="39">
        <f t="shared" si="43"/>
        <v>555000</v>
      </c>
      <c r="V107" s="125"/>
      <c r="W107" s="125"/>
      <c r="X107" s="41">
        <f t="shared" si="58"/>
        <v>0</v>
      </c>
      <c r="Y107" s="125">
        <f>204290.4+2618.74</f>
        <v>206909.13999999998</v>
      </c>
      <c r="Z107" s="41">
        <f t="shared" si="59"/>
        <v>206909.13999999998</v>
      </c>
      <c r="AA107" s="42">
        <f t="shared" si="60"/>
        <v>-348090.86</v>
      </c>
      <c r="AB107" s="258"/>
      <c r="AC107" s="258"/>
      <c r="AD107" s="258"/>
    </row>
    <row r="108" spans="1:31" ht="36.75" thickBot="1" x14ac:dyDescent="0.3">
      <c r="E108" s="54">
        <f t="shared" si="62"/>
        <v>48</v>
      </c>
      <c r="F108" s="179" t="s">
        <v>111</v>
      </c>
      <c r="G108" s="180">
        <v>3132</v>
      </c>
      <c r="H108" s="181">
        <f t="shared" si="57"/>
        <v>889500</v>
      </c>
      <c r="I108" s="183"/>
      <c r="J108" s="182">
        <v>489000</v>
      </c>
      <c r="K108" s="182">
        <v>400500</v>
      </c>
      <c r="L108" s="183"/>
      <c r="M108" s="183"/>
      <c r="N108" s="183"/>
      <c r="O108" s="183"/>
      <c r="P108" s="183"/>
      <c r="Q108" s="183"/>
      <c r="R108" s="183"/>
      <c r="S108" s="183"/>
      <c r="T108" s="229"/>
      <c r="U108" s="39">
        <f t="shared" si="43"/>
        <v>889500</v>
      </c>
      <c r="V108" s="125"/>
      <c r="W108" s="125"/>
      <c r="X108" s="41">
        <f t="shared" si="58"/>
        <v>0</v>
      </c>
      <c r="Y108" s="125"/>
      <c r="Z108" s="41">
        <f t="shared" si="59"/>
        <v>0</v>
      </c>
      <c r="AA108" s="42">
        <f t="shared" si="60"/>
        <v>-889500</v>
      </c>
      <c r="AB108" s="258"/>
      <c r="AC108" s="258"/>
      <c r="AD108" s="258"/>
    </row>
    <row r="109" spans="1:31" ht="36.75" thickBot="1" x14ac:dyDescent="0.3">
      <c r="E109" s="54">
        <f t="shared" si="62"/>
        <v>49</v>
      </c>
      <c r="F109" s="179" t="s">
        <v>112</v>
      </c>
      <c r="G109" s="180">
        <v>3132</v>
      </c>
      <c r="H109" s="181">
        <f t="shared" si="57"/>
        <v>297886</v>
      </c>
      <c r="I109" s="183"/>
      <c r="J109" s="183"/>
      <c r="K109" s="183"/>
      <c r="L109" s="182">
        <v>100000</v>
      </c>
      <c r="M109" s="182">
        <v>197886</v>
      </c>
      <c r="N109" s="183"/>
      <c r="O109" s="183"/>
      <c r="P109" s="183"/>
      <c r="Q109" s="183"/>
      <c r="R109" s="183"/>
      <c r="S109" s="183"/>
      <c r="T109" s="229"/>
      <c r="U109" s="39">
        <f t="shared" si="43"/>
        <v>297886</v>
      </c>
      <c r="V109" s="125"/>
      <c r="W109" s="125"/>
      <c r="X109" s="41">
        <f t="shared" si="58"/>
        <v>0</v>
      </c>
      <c r="Y109" s="125"/>
      <c r="Z109" s="41">
        <f t="shared" si="59"/>
        <v>0</v>
      </c>
      <c r="AA109" s="42">
        <f t="shared" si="60"/>
        <v>-297886</v>
      </c>
      <c r="AB109" s="258"/>
      <c r="AC109" s="258"/>
      <c r="AD109" s="258"/>
    </row>
    <row r="110" spans="1:31" ht="48.75" thickBot="1" x14ac:dyDescent="0.3">
      <c r="E110" s="54">
        <f t="shared" si="62"/>
        <v>50</v>
      </c>
      <c r="F110" s="179" t="s">
        <v>113</v>
      </c>
      <c r="G110" s="180">
        <v>3132</v>
      </c>
      <c r="H110" s="181">
        <f t="shared" si="57"/>
        <v>500000</v>
      </c>
      <c r="I110" s="183"/>
      <c r="J110" s="183"/>
      <c r="K110" s="182">
        <v>50000</v>
      </c>
      <c r="L110" s="183"/>
      <c r="M110" s="183"/>
      <c r="N110" s="183"/>
      <c r="O110" s="183"/>
      <c r="P110" s="182">
        <v>450000</v>
      </c>
      <c r="Q110" s="183"/>
      <c r="R110" s="183"/>
      <c r="S110" s="183"/>
      <c r="T110" s="229"/>
      <c r="U110" s="39">
        <f t="shared" si="43"/>
        <v>50000</v>
      </c>
      <c r="V110" s="125"/>
      <c r="W110" s="125"/>
      <c r="X110" s="41">
        <f t="shared" si="58"/>
        <v>0</v>
      </c>
      <c r="Y110" s="125"/>
      <c r="Z110" s="41">
        <f t="shared" si="59"/>
        <v>0</v>
      </c>
      <c r="AA110" s="42">
        <f t="shared" si="60"/>
        <v>-50000</v>
      </c>
      <c r="AB110" s="258"/>
      <c r="AC110" s="258"/>
      <c r="AD110" s="258"/>
    </row>
    <row r="111" spans="1:31" ht="48.75" thickBot="1" x14ac:dyDescent="0.3">
      <c r="E111" s="54">
        <f t="shared" si="62"/>
        <v>51</v>
      </c>
      <c r="F111" s="179" t="s">
        <v>114</v>
      </c>
      <c r="G111" s="180">
        <v>3132</v>
      </c>
      <c r="H111" s="181">
        <f t="shared" si="57"/>
        <v>500000</v>
      </c>
      <c r="I111" s="183"/>
      <c r="J111" s="183"/>
      <c r="K111" s="182">
        <v>50000</v>
      </c>
      <c r="L111" s="183"/>
      <c r="M111" s="183"/>
      <c r="N111" s="183"/>
      <c r="O111" s="183"/>
      <c r="P111" s="183"/>
      <c r="Q111" s="183"/>
      <c r="R111" s="182">
        <v>450000</v>
      </c>
      <c r="S111" s="183"/>
      <c r="T111" s="229"/>
      <c r="U111" s="39">
        <f t="shared" si="43"/>
        <v>50000</v>
      </c>
      <c r="V111" s="125"/>
      <c r="W111" s="125"/>
      <c r="X111" s="41">
        <f t="shared" si="58"/>
        <v>0</v>
      </c>
      <c r="Y111" s="125"/>
      <c r="Z111" s="41">
        <f t="shared" si="59"/>
        <v>0</v>
      </c>
      <c r="AA111" s="42">
        <f t="shared" si="60"/>
        <v>-50000</v>
      </c>
      <c r="AB111" s="258"/>
      <c r="AC111" s="258"/>
      <c r="AD111" s="258"/>
    </row>
    <row r="112" spans="1:31" ht="48.75" thickBot="1" x14ac:dyDescent="0.3">
      <c r="E112" s="54">
        <f t="shared" si="62"/>
        <v>52</v>
      </c>
      <c r="F112" s="179" t="s">
        <v>115</v>
      </c>
      <c r="G112" s="180">
        <v>3132</v>
      </c>
      <c r="H112" s="181">
        <f t="shared" si="57"/>
        <v>500000</v>
      </c>
      <c r="I112" s="183"/>
      <c r="J112" s="183"/>
      <c r="K112" s="182">
        <v>50000</v>
      </c>
      <c r="L112" s="183"/>
      <c r="M112" s="183"/>
      <c r="N112" s="183"/>
      <c r="O112" s="183"/>
      <c r="P112" s="183"/>
      <c r="Q112" s="183"/>
      <c r="R112" s="182">
        <v>450000</v>
      </c>
      <c r="S112" s="183"/>
      <c r="T112" s="229"/>
      <c r="U112" s="39">
        <f t="shared" si="43"/>
        <v>50000</v>
      </c>
      <c r="V112" s="125"/>
      <c r="W112" s="125"/>
      <c r="X112" s="41">
        <f t="shared" si="58"/>
        <v>0</v>
      </c>
      <c r="Y112" s="125"/>
      <c r="Z112" s="41">
        <f t="shared" si="59"/>
        <v>0</v>
      </c>
      <c r="AA112" s="42">
        <f t="shared" si="60"/>
        <v>-50000</v>
      </c>
      <c r="AB112" s="258"/>
      <c r="AC112" s="258"/>
      <c r="AD112" s="258"/>
    </row>
    <row r="113" spans="1:31" ht="34.5" thickBot="1" x14ac:dyDescent="0.3">
      <c r="E113" s="54">
        <f t="shared" si="62"/>
        <v>53</v>
      </c>
      <c r="F113" s="184" t="s">
        <v>273</v>
      </c>
      <c r="G113" s="180">
        <v>3132</v>
      </c>
      <c r="H113" s="181">
        <f t="shared" si="57"/>
        <v>200000</v>
      </c>
      <c r="I113" s="183"/>
      <c r="J113" s="183"/>
      <c r="K113" s="182">
        <v>15000</v>
      </c>
      <c r="L113" s="183"/>
      <c r="M113" s="183"/>
      <c r="N113" s="183"/>
      <c r="O113" s="182">
        <v>185000</v>
      </c>
      <c r="P113" s="183"/>
      <c r="Q113" s="183"/>
      <c r="R113" s="183"/>
      <c r="S113" s="183"/>
      <c r="T113" s="229"/>
      <c r="U113" s="39">
        <f t="shared" si="43"/>
        <v>200000</v>
      </c>
      <c r="V113" s="125"/>
      <c r="W113" s="125"/>
      <c r="X113" s="41">
        <f t="shared" si="58"/>
        <v>0</v>
      </c>
      <c r="Y113" s="125"/>
      <c r="Z113" s="41">
        <f t="shared" si="59"/>
        <v>0</v>
      </c>
      <c r="AA113" s="42">
        <f t="shared" si="60"/>
        <v>-200000</v>
      </c>
      <c r="AB113" s="258"/>
      <c r="AC113" s="258"/>
      <c r="AD113" s="258"/>
    </row>
    <row r="114" spans="1:31" ht="36.75" thickBot="1" x14ac:dyDescent="0.3">
      <c r="A114" t="s">
        <v>257</v>
      </c>
      <c r="D114" t="s">
        <v>256</v>
      </c>
      <c r="E114" s="54">
        <f t="shared" si="62"/>
        <v>54</v>
      </c>
      <c r="F114" s="179" t="s">
        <v>116</v>
      </c>
      <c r="G114" s="180">
        <v>3132</v>
      </c>
      <c r="H114" s="181">
        <f t="shared" si="57"/>
        <v>250000</v>
      </c>
      <c r="I114" s="183"/>
      <c r="J114" s="183"/>
      <c r="K114" s="182">
        <v>18000</v>
      </c>
      <c r="L114" s="183"/>
      <c r="M114" s="183"/>
      <c r="N114" s="183"/>
      <c r="O114" s="182">
        <v>232000</v>
      </c>
      <c r="P114" s="183"/>
      <c r="Q114" s="183"/>
      <c r="R114" s="183"/>
      <c r="S114" s="183"/>
      <c r="T114" s="229"/>
      <c r="U114" s="39">
        <f t="shared" si="43"/>
        <v>250000</v>
      </c>
      <c r="V114" s="125"/>
      <c r="W114" s="125"/>
      <c r="X114" s="41">
        <f t="shared" si="58"/>
        <v>0</v>
      </c>
      <c r="Y114" s="125"/>
      <c r="Z114" s="41">
        <f t="shared" si="59"/>
        <v>0</v>
      </c>
      <c r="AA114" s="42">
        <f t="shared" si="60"/>
        <v>-250000</v>
      </c>
      <c r="AB114" s="258"/>
      <c r="AC114" s="258"/>
      <c r="AD114" s="258"/>
    </row>
    <row r="115" spans="1:31" ht="36.75" thickBot="1" x14ac:dyDescent="0.3">
      <c r="A115" t="s">
        <v>230</v>
      </c>
      <c r="D115" t="s">
        <v>229</v>
      </c>
      <c r="E115" s="54">
        <f t="shared" si="62"/>
        <v>55</v>
      </c>
      <c r="F115" s="179" t="s">
        <v>117</v>
      </c>
      <c r="G115" s="180">
        <v>3132</v>
      </c>
      <c r="H115" s="181">
        <f t="shared" si="57"/>
        <v>347000</v>
      </c>
      <c r="I115" s="183"/>
      <c r="J115" s="182">
        <v>347000</v>
      </c>
      <c r="K115" s="183"/>
      <c r="L115" s="183"/>
      <c r="M115" s="183"/>
      <c r="N115" s="183"/>
      <c r="O115" s="183"/>
      <c r="P115" s="183"/>
      <c r="Q115" s="183"/>
      <c r="R115" s="183"/>
      <c r="S115" s="183"/>
      <c r="T115" s="229"/>
      <c r="U115" s="39">
        <f t="shared" si="43"/>
        <v>347000</v>
      </c>
      <c r="V115" s="125">
        <f>54087.6+697.16+0.45</f>
        <v>54785.21</v>
      </c>
      <c r="W115" s="125">
        <f>54087.6+697.61</f>
        <v>54785.21</v>
      </c>
      <c r="X115" s="41">
        <f t="shared" si="58"/>
        <v>0</v>
      </c>
      <c r="Y115" s="125">
        <f>54087.6+697.61</f>
        <v>54785.21</v>
      </c>
      <c r="Z115" s="41">
        <f t="shared" si="59"/>
        <v>0</v>
      </c>
      <c r="AA115" s="42">
        <f t="shared" si="60"/>
        <v>-292214.78999999998</v>
      </c>
      <c r="AB115" s="258"/>
      <c r="AC115" s="258"/>
      <c r="AD115" s="258"/>
    </row>
    <row r="116" spans="1:31" ht="23.25" thickBot="1" x14ac:dyDescent="0.3">
      <c r="E116" s="54"/>
      <c r="F116" s="185" t="s">
        <v>270</v>
      </c>
      <c r="G116" s="186"/>
      <c r="H116" s="187"/>
      <c r="I116" s="188"/>
      <c r="J116" s="189">
        <v>49000</v>
      </c>
      <c r="K116" s="183"/>
      <c r="L116" s="183"/>
      <c r="M116" s="183"/>
      <c r="N116" s="183"/>
      <c r="O116" s="183"/>
      <c r="P116" s="183"/>
      <c r="Q116" s="183"/>
      <c r="R116" s="183"/>
      <c r="S116" s="183"/>
      <c r="T116" s="229"/>
      <c r="U116" s="39">
        <f t="shared" si="43"/>
        <v>49000</v>
      </c>
      <c r="V116" s="125"/>
      <c r="W116" s="125"/>
      <c r="X116" s="41"/>
      <c r="Y116" s="125"/>
      <c r="Z116" s="41"/>
      <c r="AA116" s="42"/>
      <c r="AB116" s="258"/>
      <c r="AC116" s="258"/>
      <c r="AD116" s="258"/>
    </row>
    <row r="117" spans="1:31" ht="36.75" thickBot="1" x14ac:dyDescent="0.3">
      <c r="E117" s="54">
        <f>E115+1</f>
        <v>56</v>
      </c>
      <c r="F117" s="179" t="s">
        <v>118</v>
      </c>
      <c r="G117" s="180">
        <v>3132</v>
      </c>
      <c r="H117" s="181">
        <f t="shared" si="57"/>
        <v>500000</v>
      </c>
      <c r="I117" s="183"/>
      <c r="J117" s="183"/>
      <c r="K117" s="182">
        <v>50000</v>
      </c>
      <c r="L117" s="183"/>
      <c r="M117" s="183"/>
      <c r="N117" s="183"/>
      <c r="O117" s="183"/>
      <c r="P117" s="182">
        <v>400000</v>
      </c>
      <c r="Q117" s="182">
        <v>50000</v>
      </c>
      <c r="R117" s="183"/>
      <c r="S117" s="183"/>
      <c r="T117" s="229"/>
      <c r="U117" s="39">
        <f t="shared" si="43"/>
        <v>50000</v>
      </c>
      <c r="V117" s="125"/>
      <c r="W117" s="125"/>
      <c r="X117" s="41">
        <f t="shared" si="58"/>
        <v>0</v>
      </c>
      <c r="Y117" s="125"/>
      <c r="Z117" s="41">
        <f t="shared" si="59"/>
        <v>0</v>
      </c>
      <c r="AA117" s="42">
        <f t="shared" si="60"/>
        <v>-50000</v>
      </c>
      <c r="AB117" s="258"/>
      <c r="AC117" s="258"/>
      <c r="AD117" s="258"/>
    </row>
    <row r="118" spans="1:31" ht="48.75" thickBot="1" x14ac:dyDescent="0.3">
      <c r="E118" s="54">
        <f>E117+1</f>
        <v>57</v>
      </c>
      <c r="F118" s="179" t="s">
        <v>119</v>
      </c>
      <c r="G118" s="180">
        <v>3132</v>
      </c>
      <c r="H118" s="181">
        <f t="shared" si="57"/>
        <v>150000</v>
      </c>
      <c r="I118" s="183"/>
      <c r="J118" s="183"/>
      <c r="K118" s="182">
        <v>18000</v>
      </c>
      <c r="L118" s="183"/>
      <c r="M118" s="183"/>
      <c r="N118" s="183"/>
      <c r="O118" s="183"/>
      <c r="P118" s="183"/>
      <c r="Q118" s="183"/>
      <c r="R118" s="182">
        <v>132000</v>
      </c>
      <c r="S118" s="183"/>
      <c r="T118" s="229"/>
      <c r="U118" s="39">
        <f t="shared" si="43"/>
        <v>18000</v>
      </c>
      <c r="V118" s="125"/>
      <c r="W118" s="125"/>
      <c r="X118" s="41">
        <f t="shared" si="58"/>
        <v>0</v>
      </c>
      <c r="Y118" s="125"/>
      <c r="Z118" s="41">
        <f t="shared" si="59"/>
        <v>0</v>
      </c>
      <c r="AA118" s="42">
        <f t="shared" si="60"/>
        <v>-18000</v>
      </c>
      <c r="AB118" s="258"/>
      <c r="AC118" s="258"/>
      <c r="AD118" s="258"/>
    </row>
    <row r="119" spans="1:31" ht="36.75" thickBot="1" x14ac:dyDescent="0.3">
      <c r="E119" s="54">
        <f t="shared" ref="E119:E122" si="63">E118+1</f>
        <v>58</v>
      </c>
      <c r="F119" s="190" t="s">
        <v>120</v>
      </c>
      <c r="G119" s="180">
        <v>3132</v>
      </c>
      <c r="H119" s="181">
        <f t="shared" si="57"/>
        <v>350000</v>
      </c>
      <c r="I119" s="183"/>
      <c r="J119" s="183"/>
      <c r="K119" s="182">
        <v>20000</v>
      </c>
      <c r="L119" s="182">
        <v>330000</v>
      </c>
      <c r="M119" s="183"/>
      <c r="N119" s="183"/>
      <c r="O119" s="183"/>
      <c r="P119" s="183"/>
      <c r="Q119" s="183"/>
      <c r="R119" s="183"/>
      <c r="S119" s="183"/>
      <c r="T119" s="229"/>
      <c r="U119" s="39">
        <f t="shared" si="43"/>
        <v>350000</v>
      </c>
      <c r="V119" s="125"/>
      <c r="W119" s="125"/>
      <c r="X119" s="41">
        <f t="shared" si="58"/>
        <v>0</v>
      </c>
      <c r="Y119" s="125"/>
      <c r="Z119" s="41">
        <f t="shared" si="59"/>
        <v>0</v>
      </c>
      <c r="AA119" s="42">
        <f t="shared" si="60"/>
        <v>-350000</v>
      </c>
      <c r="AB119" s="258"/>
      <c r="AC119" s="258"/>
      <c r="AD119" s="258"/>
    </row>
    <row r="120" spans="1:31" ht="36.75" thickBot="1" x14ac:dyDescent="0.3">
      <c r="E120" s="54">
        <f t="shared" si="63"/>
        <v>59</v>
      </c>
      <c r="F120" s="190" t="s">
        <v>121</v>
      </c>
      <c r="G120" s="180">
        <v>3132</v>
      </c>
      <c r="H120" s="181">
        <f t="shared" si="57"/>
        <v>0</v>
      </c>
      <c r="I120" s="183"/>
      <c r="J120" s="183"/>
      <c r="K120" s="183"/>
      <c r="L120" s="183"/>
      <c r="M120" s="183"/>
      <c r="N120" s="183"/>
      <c r="O120" s="183"/>
      <c r="P120" s="183"/>
      <c r="Q120" s="183"/>
      <c r="R120" s="183"/>
      <c r="S120" s="183"/>
      <c r="T120" s="229"/>
      <c r="U120" s="39">
        <f t="shared" si="43"/>
        <v>0</v>
      </c>
      <c r="V120" s="125"/>
      <c r="W120" s="125"/>
      <c r="X120" s="41">
        <f t="shared" si="58"/>
        <v>0</v>
      </c>
      <c r="Y120" s="125"/>
      <c r="Z120" s="41">
        <f t="shared" si="59"/>
        <v>0</v>
      </c>
      <c r="AA120" s="42">
        <f t="shared" si="60"/>
        <v>0</v>
      </c>
      <c r="AB120" s="258"/>
      <c r="AC120" s="258"/>
      <c r="AD120" s="258"/>
    </row>
    <row r="121" spans="1:31" ht="36.75" thickBot="1" x14ac:dyDescent="0.3">
      <c r="E121" s="54">
        <f t="shared" si="63"/>
        <v>60</v>
      </c>
      <c r="F121" s="190" t="s">
        <v>122</v>
      </c>
      <c r="G121" s="180">
        <v>3132</v>
      </c>
      <c r="H121" s="181">
        <f t="shared" si="57"/>
        <v>400000</v>
      </c>
      <c r="I121" s="182">
        <v>18000</v>
      </c>
      <c r="J121" s="183"/>
      <c r="K121" s="182">
        <v>28000</v>
      </c>
      <c r="L121" s="183"/>
      <c r="M121" s="183"/>
      <c r="N121" s="183"/>
      <c r="O121" s="183"/>
      <c r="P121" s="183"/>
      <c r="Q121" s="183"/>
      <c r="R121" s="182">
        <v>354000</v>
      </c>
      <c r="S121" s="183"/>
      <c r="T121" s="229"/>
      <c r="U121" s="39">
        <f t="shared" si="43"/>
        <v>46000</v>
      </c>
      <c r="V121" s="125"/>
      <c r="W121" s="125"/>
      <c r="X121" s="41">
        <f t="shared" si="58"/>
        <v>0</v>
      </c>
      <c r="Y121" s="125"/>
      <c r="Z121" s="41">
        <f t="shared" si="59"/>
        <v>0</v>
      </c>
      <c r="AA121" s="42">
        <f t="shared" si="60"/>
        <v>-46000</v>
      </c>
      <c r="AB121" s="258"/>
      <c r="AC121" s="258"/>
      <c r="AD121" s="258"/>
    </row>
    <row r="122" spans="1:31" ht="34.5" thickBot="1" x14ac:dyDescent="0.3">
      <c r="E122" s="54">
        <f t="shared" si="63"/>
        <v>61</v>
      </c>
      <c r="F122" s="191" t="s">
        <v>274</v>
      </c>
      <c r="G122" s="180">
        <v>3132</v>
      </c>
      <c r="H122" s="181">
        <v>150000</v>
      </c>
      <c r="I122" s="182">
        <v>25000</v>
      </c>
      <c r="J122" s="183"/>
      <c r="K122" s="183"/>
      <c r="L122" s="183"/>
      <c r="M122" s="183"/>
      <c r="N122" s="183"/>
      <c r="O122" s="183"/>
      <c r="P122" s="183"/>
      <c r="Q122" s="183"/>
      <c r="R122" s="182">
        <v>125000</v>
      </c>
      <c r="S122" s="183"/>
      <c r="T122" s="229"/>
      <c r="U122" s="39">
        <f t="shared" ref="U122:U170" si="64">I122+J122+K122+L122+M122+N122+O122</f>
        <v>25000</v>
      </c>
      <c r="V122" s="125"/>
      <c r="W122" s="125"/>
      <c r="X122" s="41"/>
      <c r="Y122" s="125"/>
      <c r="Z122" s="41"/>
      <c r="AA122" s="42">
        <f t="shared" si="60"/>
        <v>-25000</v>
      </c>
      <c r="AB122" s="258"/>
      <c r="AC122" s="258"/>
      <c r="AD122" s="258"/>
    </row>
    <row r="123" spans="1:31" ht="15.75" thickBot="1" x14ac:dyDescent="0.3">
      <c r="E123" s="478" t="s">
        <v>123</v>
      </c>
      <c r="F123" s="479"/>
      <c r="G123" s="479"/>
      <c r="H123" s="53">
        <f>SUM(H124:H127)</f>
        <v>1097717</v>
      </c>
      <c r="I123" s="53">
        <f>SUM(I124:I127)</f>
        <v>71707</v>
      </c>
      <c r="J123" s="53">
        <f t="shared" ref="J123:AA123" si="65">SUM(J124:J127)</f>
        <v>0</v>
      </c>
      <c r="K123" s="53">
        <f t="shared" si="65"/>
        <v>70000</v>
      </c>
      <c r="L123" s="53">
        <f t="shared" si="65"/>
        <v>30000</v>
      </c>
      <c r="M123" s="53">
        <f t="shared" si="65"/>
        <v>821010</v>
      </c>
      <c r="N123" s="53">
        <f t="shared" si="65"/>
        <v>0</v>
      </c>
      <c r="O123" s="53">
        <f t="shared" si="65"/>
        <v>0</v>
      </c>
      <c r="P123" s="53">
        <f t="shared" si="65"/>
        <v>0</v>
      </c>
      <c r="Q123" s="53">
        <f t="shared" si="65"/>
        <v>0</v>
      </c>
      <c r="R123" s="53">
        <f t="shared" si="65"/>
        <v>105000</v>
      </c>
      <c r="S123" s="53">
        <f t="shared" si="65"/>
        <v>0</v>
      </c>
      <c r="T123" s="226">
        <f t="shared" si="65"/>
        <v>0</v>
      </c>
      <c r="U123" s="39">
        <f t="shared" si="64"/>
        <v>992717</v>
      </c>
      <c r="V123" s="53">
        <f t="shared" si="65"/>
        <v>0</v>
      </c>
      <c r="W123" s="53">
        <f t="shared" si="65"/>
        <v>0</v>
      </c>
      <c r="X123" s="53">
        <f t="shared" si="65"/>
        <v>0</v>
      </c>
      <c r="Y123" s="53">
        <f t="shared" si="65"/>
        <v>67889.149999999994</v>
      </c>
      <c r="Z123" s="53">
        <f t="shared" si="65"/>
        <v>67889.149999999994</v>
      </c>
      <c r="AA123" s="53">
        <f t="shared" si="65"/>
        <v>-924827.85</v>
      </c>
      <c r="AB123" s="263"/>
      <c r="AC123" s="263"/>
      <c r="AD123" s="263"/>
    </row>
    <row r="124" spans="1:31" ht="24.75" thickBot="1" x14ac:dyDescent="0.3">
      <c r="E124" s="54">
        <f>E122+1</f>
        <v>62</v>
      </c>
      <c r="F124" s="55" t="s">
        <v>124</v>
      </c>
      <c r="G124" s="63">
        <v>3132</v>
      </c>
      <c r="H124" s="57">
        <f t="shared" si="57"/>
        <v>30000</v>
      </c>
      <c r="I124" s="48"/>
      <c r="J124" s="48"/>
      <c r="K124" s="48"/>
      <c r="L124" s="61">
        <v>30000</v>
      </c>
      <c r="M124" s="48"/>
      <c r="N124" s="48"/>
      <c r="O124" s="48"/>
      <c r="P124" s="48"/>
      <c r="Q124" s="48"/>
      <c r="R124" s="48"/>
      <c r="S124" s="48"/>
      <c r="T124" s="231"/>
      <c r="U124" s="39">
        <f t="shared" si="64"/>
        <v>30000</v>
      </c>
      <c r="V124" s="64"/>
      <c r="W124" s="64"/>
      <c r="X124" s="41">
        <f t="shared" ref="X124:X127" si="66">W124-V124</f>
        <v>0</v>
      </c>
      <c r="Y124" s="64"/>
      <c r="Z124" s="41">
        <f t="shared" ref="Z124:Z127" si="67">Y124-V124</f>
        <v>0</v>
      </c>
      <c r="AA124" s="42">
        <f t="shared" ref="AA124:AA127" si="68">Y124-U124</f>
        <v>-30000</v>
      </c>
      <c r="AB124" s="258"/>
      <c r="AC124" s="258"/>
      <c r="AD124" s="258"/>
    </row>
    <row r="125" spans="1:31" ht="72.75" thickBot="1" x14ac:dyDescent="0.3">
      <c r="E125" s="54">
        <f>E124+1</f>
        <v>63</v>
      </c>
      <c r="F125" s="55" t="s">
        <v>125</v>
      </c>
      <c r="G125" s="56">
        <v>3132</v>
      </c>
      <c r="H125" s="57">
        <f t="shared" si="57"/>
        <v>125000</v>
      </c>
      <c r="I125" s="48"/>
      <c r="J125" s="48"/>
      <c r="K125" s="61">
        <v>20000</v>
      </c>
      <c r="L125" s="48"/>
      <c r="M125" s="48"/>
      <c r="N125" s="48"/>
      <c r="O125" s="48"/>
      <c r="P125" s="48"/>
      <c r="Q125" s="48"/>
      <c r="R125" s="61">
        <v>105000</v>
      </c>
      <c r="S125" s="48"/>
      <c r="T125" s="231"/>
      <c r="U125" s="39">
        <f t="shared" si="64"/>
        <v>20000</v>
      </c>
      <c r="V125" s="125"/>
      <c r="W125" s="125"/>
      <c r="X125" s="41">
        <f t="shared" si="66"/>
        <v>0</v>
      </c>
      <c r="Y125" s="125"/>
      <c r="Z125" s="41">
        <f t="shared" si="67"/>
        <v>0</v>
      </c>
      <c r="AA125" s="177">
        <f t="shared" si="68"/>
        <v>-20000</v>
      </c>
      <c r="AB125" s="264"/>
      <c r="AC125" s="264"/>
      <c r="AD125" s="264"/>
    </row>
    <row r="126" spans="1:31" ht="36.75" thickBot="1" x14ac:dyDescent="0.3">
      <c r="A126" t="s">
        <v>343</v>
      </c>
      <c r="C126">
        <v>67026</v>
      </c>
      <c r="D126" t="s">
        <v>228</v>
      </c>
      <c r="E126" s="54">
        <f t="shared" ref="E126:E127" si="69">E125+1</f>
        <v>64</v>
      </c>
      <c r="F126" s="55" t="s">
        <v>126</v>
      </c>
      <c r="G126" s="56">
        <v>3132</v>
      </c>
      <c r="H126" s="57">
        <f t="shared" si="57"/>
        <v>71707</v>
      </c>
      <c r="I126" s="61">
        <v>71707</v>
      </c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231"/>
      <c r="U126" s="39">
        <f t="shared" si="64"/>
        <v>71707</v>
      </c>
      <c r="V126" s="178">
        <f>65975+863.15-65975-863.15+9528.73-9528.73</f>
        <v>0</v>
      </c>
      <c r="W126" s="125"/>
      <c r="X126" s="41">
        <f t="shared" si="66"/>
        <v>0</v>
      </c>
      <c r="Y126" s="125">
        <f>67026+863.15</f>
        <v>67889.149999999994</v>
      </c>
      <c r="Z126" s="41">
        <f t="shared" si="67"/>
        <v>67889.149999999994</v>
      </c>
      <c r="AA126" s="177">
        <f t="shared" si="68"/>
        <v>-3817.8500000000058</v>
      </c>
      <c r="AB126" s="264"/>
      <c r="AC126" s="264"/>
      <c r="AD126" s="264"/>
      <c r="AE126">
        <f>67026+863.15</f>
        <v>67889.149999999994</v>
      </c>
    </row>
    <row r="127" spans="1:31" ht="36.75" thickBot="1" x14ac:dyDescent="0.3">
      <c r="E127" s="54">
        <f t="shared" si="69"/>
        <v>65</v>
      </c>
      <c r="F127" s="55" t="s">
        <v>127</v>
      </c>
      <c r="G127" s="56">
        <v>3132</v>
      </c>
      <c r="H127" s="57">
        <f>SUM(I127:T127)</f>
        <v>871010</v>
      </c>
      <c r="I127" s="48"/>
      <c r="J127" s="48"/>
      <c r="K127" s="61">
        <v>50000</v>
      </c>
      <c r="L127" s="48"/>
      <c r="M127" s="147">
        <v>821010</v>
      </c>
      <c r="N127" s="48"/>
      <c r="O127" s="48"/>
      <c r="P127" s="48"/>
      <c r="Q127" s="48"/>
      <c r="R127" s="48"/>
      <c r="S127" s="48"/>
      <c r="T127" s="231"/>
      <c r="U127" s="39">
        <f t="shared" si="64"/>
        <v>871010</v>
      </c>
      <c r="V127" s="125"/>
      <c r="W127" s="125"/>
      <c r="X127" s="41">
        <f t="shared" si="66"/>
        <v>0</v>
      </c>
      <c r="Y127" s="125"/>
      <c r="Z127" s="41">
        <f t="shared" si="67"/>
        <v>0</v>
      </c>
      <c r="AA127" s="177">
        <f t="shared" si="68"/>
        <v>-871010</v>
      </c>
      <c r="AB127" s="264"/>
      <c r="AC127" s="264"/>
      <c r="AD127" s="264"/>
    </row>
    <row r="128" spans="1:31" ht="15.75" thickBot="1" x14ac:dyDescent="0.3">
      <c r="E128" s="478" t="s">
        <v>128</v>
      </c>
      <c r="F128" s="479"/>
      <c r="G128" s="479"/>
      <c r="H128" s="53">
        <f>SUM(H129:H147)</f>
        <v>3509424</v>
      </c>
      <c r="I128" s="53">
        <f>SUM(I129:I147)</f>
        <v>144424</v>
      </c>
      <c r="J128" s="53">
        <f t="shared" ref="J128:AA128" si="70">SUM(J129:J147)</f>
        <v>20000</v>
      </c>
      <c r="K128" s="53">
        <f t="shared" si="70"/>
        <v>380000</v>
      </c>
      <c r="L128" s="53">
        <f t="shared" si="70"/>
        <v>0</v>
      </c>
      <c r="M128" s="53">
        <f t="shared" si="70"/>
        <v>500000</v>
      </c>
      <c r="N128" s="53">
        <f t="shared" si="70"/>
        <v>0</v>
      </c>
      <c r="O128" s="53">
        <f t="shared" si="70"/>
        <v>500000</v>
      </c>
      <c r="P128" s="53">
        <f t="shared" si="70"/>
        <v>450000</v>
      </c>
      <c r="Q128" s="53">
        <f t="shared" si="70"/>
        <v>225000</v>
      </c>
      <c r="R128" s="53">
        <f t="shared" si="70"/>
        <v>365000</v>
      </c>
      <c r="S128" s="53">
        <f t="shared" si="70"/>
        <v>273000</v>
      </c>
      <c r="T128" s="226">
        <f t="shared" si="70"/>
        <v>652000</v>
      </c>
      <c r="U128" s="39">
        <f t="shared" si="64"/>
        <v>1544424</v>
      </c>
      <c r="V128" s="53">
        <f t="shared" si="70"/>
        <v>141440</v>
      </c>
      <c r="W128" s="53">
        <f t="shared" si="70"/>
        <v>141440</v>
      </c>
      <c r="X128" s="53">
        <f t="shared" si="70"/>
        <v>0</v>
      </c>
      <c r="Y128" s="53">
        <f t="shared" si="70"/>
        <v>141440</v>
      </c>
      <c r="Z128" s="53">
        <f t="shared" si="70"/>
        <v>0</v>
      </c>
      <c r="AA128" s="53">
        <f t="shared" si="70"/>
        <v>-1402984</v>
      </c>
      <c r="AB128" s="263"/>
      <c r="AC128" s="263"/>
      <c r="AD128" s="263"/>
    </row>
    <row r="129" spans="1:30" ht="36.75" thickBot="1" x14ac:dyDescent="0.3">
      <c r="E129" s="54">
        <f>E127+1</f>
        <v>66</v>
      </c>
      <c r="F129" s="55" t="s">
        <v>129</v>
      </c>
      <c r="G129" s="56">
        <v>3132</v>
      </c>
      <c r="H129" s="57">
        <f>SUM(I129:T129)</f>
        <v>100000</v>
      </c>
      <c r="I129" s="59"/>
      <c r="J129" s="59"/>
      <c r="K129" s="58">
        <v>20000</v>
      </c>
      <c r="L129" s="59"/>
      <c r="M129" s="59"/>
      <c r="N129" s="59"/>
      <c r="O129" s="59"/>
      <c r="P129" s="59"/>
      <c r="Q129" s="59"/>
      <c r="R129" s="59"/>
      <c r="S129" s="58">
        <v>13000</v>
      </c>
      <c r="T129" s="144">
        <v>67000</v>
      </c>
      <c r="U129" s="39">
        <f t="shared" si="64"/>
        <v>20000</v>
      </c>
      <c r="V129" s="64"/>
      <c r="W129" s="64"/>
      <c r="X129" s="41">
        <f t="shared" ref="X129:X147" si="71">W129-V129</f>
        <v>0</v>
      </c>
      <c r="Y129" s="64"/>
      <c r="Z129" s="41">
        <f t="shared" ref="Z129:Z147" si="72">Y129-V129</f>
        <v>0</v>
      </c>
      <c r="AA129" s="42">
        <f t="shared" ref="AA129:AA147" si="73">Y129-U129</f>
        <v>-20000</v>
      </c>
      <c r="AB129" s="258"/>
      <c r="AC129" s="258"/>
      <c r="AD129" s="258"/>
    </row>
    <row r="130" spans="1:30" ht="36.75" thickBot="1" x14ac:dyDescent="0.3">
      <c r="E130" s="54">
        <f>E129+1</f>
        <v>67</v>
      </c>
      <c r="F130" s="55" t="s">
        <v>130</v>
      </c>
      <c r="G130" s="56">
        <v>3132</v>
      </c>
      <c r="H130" s="57">
        <f t="shared" ref="H130:H147" si="74">SUM(I130:T130)</f>
        <v>350000</v>
      </c>
      <c r="I130" s="59"/>
      <c r="J130" s="59"/>
      <c r="K130" s="58">
        <v>50000</v>
      </c>
      <c r="L130" s="59"/>
      <c r="M130" s="59"/>
      <c r="N130" s="59"/>
      <c r="O130" s="59"/>
      <c r="P130" s="59"/>
      <c r="Q130" s="59"/>
      <c r="R130" s="59"/>
      <c r="S130" s="59"/>
      <c r="T130" s="144">
        <v>300000</v>
      </c>
      <c r="U130" s="39">
        <f t="shared" si="64"/>
        <v>50000</v>
      </c>
      <c r="V130" s="64"/>
      <c r="W130" s="64"/>
      <c r="X130" s="41">
        <f t="shared" si="71"/>
        <v>0</v>
      </c>
      <c r="Y130" s="64"/>
      <c r="Z130" s="41">
        <f t="shared" si="72"/>
        <v>0</v>
      </c>
      <c r="AA130" s="42">
        <f t="shared" si="73"/>
        <v>-50000</v>
      </c>
      <c r="AB130" s="258"/>
      <c r="AC130" s="258"/>
      <c r="AD130" s="258"/>
    </row>
    <row r="131" spans="1:30" ht="36.75" thickBot="1" x14ac:dyDescent="0.3">
      <c r="E131" s="54">
        <f t="shared" ref="E131:E147" si="75">E130+1</f>
        <v>68</v>
      </c>
      <c r="F131" s="55" t="s">
        <v>131</v>
      </c>
      <c r="G131" s="56">
        <v>3132</v>
      </c>
      <c r="H131" s="57">
        <f t="shared" si="74"/>
        <v>100000</v>
      </c>
      <c r="I131" s="59"/>
      <c r="J131" s="59"/>
      <c r="K131" s="58">
        <v>25000</v>
      </c>
      <c r="L131" s="59"/>
      <c r="M131" s="59"/>
      <c r="N131" s="59"/>
      <c r="O131" s="59"/>
      <c r="P131" s="59"/>
      <c r="Q131" s="59"/>
      <c r="R131" s="59"/>
      <c r="S131" s="58">
        <v>75000</v>
      </c>
      <c r="T131" s="229"/>
      <c r="U131" s="39">
        <f t="shared" si="64"/>
        <v>25000</v>
      </c>
      <c r="V131" s="64"/>
      <c r="W131" s="64"/>
      <c r="X131" s="41">
        <f t="shared" si="71"/>
        <v>0</v>
      </c>
      <c r="Y131" s="64"/>
      <c r="Z131" s="41">
        <f t="shared" si="72"/>
        <v>0</v>
      </c>
      <c r="AA131" s="42">
        <f t="shared" si="73"/>
        <v>-25000</v>
      </c>
      <c r="AB131" s="258"/>
      <c r="AC131" s="258"/>
      <c r="AD131" s="258"/>
    </row>
    <row r="132" spans="1:30" ht="36.75" thickBot="1" x14ac:dyDescent="0.3">
      <c r="E132" s="54">
        <f t="shared" si="75"/>
        <v>69</v>
      </c>
      <c r="F132" s="55" t="s">
        <v>132</v>
      </c>
      <c r="G132" s="56">
        <v>3132</v>
      </c>
      <c r="H132" s="57">
        <f t="shared" si="74"/>
        <v>250000</v>
      </c>
      <c r="I132" s="59"/>
      <c r="J132" s="59"/>
      <c r="K132" s="58">
        <v>25000</v>
      </c>
      <c r="L132" s="59"/>
      <c r="M132" s="59"/>
      <c r="N132" s="59"/>
      <c r="O132" s="59"/>
      <c r="P132" s="59"/>
      <c r="Q132" s="59"/>
      <c r="R132" s="59"/>
      <c r="S132" s="59"/>
      <c r="T132" s="144">
        <v>225000</v>
      </c>
      <c r="U132" s="39">
        <f t="shared" si="64"/>
        <v>25000</v>
      </c>
      <c r="V132" s="64"/>
      <c r="W132" s="64"/>
      <c r="X132" s="41">
        <f t="shared" si="71"/>
        <v>0</v>
      </c>
      <c r="Y132" s="64"/>
      <c r="Z132" s="41">
        <f t="shared" si="72"/>
        <v>0</v>
      </c>
      <c r="AA132" s="42">
        <f t="shared" si="73"/>
        <v>-25000</v>
      </c>
      <c r="AB132" s="258"/>
      <c r="AC132" s="258"/>
      <c r="AD132" s="258"/>
    </row>
    <row r="133" spans="1:30" ht="36.75" thickBot="1" x14ac:dyDescent="0.3">
      <c r="E133" s="54">
        <f t="shared" si="75"/>
        <v>70</v>
      </c>
      <c r="F133" s="55" t="s">
        <v>133</v>
      </c>
      <c r="G133" s="56">
        <v>3132</v>
      </c>
      <c r="H133" s="57">
        <f t="shared" si="74"/>
        <v>50000</v>
      </c>
      <c r="I133" s="59"/>
      <c r="J133" s="59"/>
      <c r="K133" s="58">
        <v>10000</v>
      </c>
      <c r="L133" s="59"/>
      <c r="M133" s="59"/>
      <c r="N133" s="59"/>
      <c r="O133" s="59"/>
      <c r="P133" s="59"/>
      <c r="Q133" s="59"/>
      <c r="R133" s="59"/>
      <c r="S133" s="58">
        <v>40000</v>
      </c>
      <c r="T133" s="229"/>
      <c r="U133" s="39">
        <f t="shared" si="64"/>
        <v>10000</v>
      </c>
      <c r="V133" s="64"/>
      <c r="W133" s="64"/>
      <c r="X133" s="41">
        <f t="shared" si="71"/>
        <v>0</v>
      </c>
      <c r="Y133" s="64"/>
      <c r="Z133" s="41">
        <f t="shared" si="72"/>
        <v>0</v>
      </c>
      <c r="AA133" s="42">
        <f t="shared" si="73"/>
        <v>-10000</v>
      </c>
      <c r="AB133" s="258"/>
      <c r="AC133" s="258"/>
      <c r="AD133" s="258"/>
    </row>
    <row r="134" spans="1:30" ht="36.75" thickBot="1" x14ac:dyDescent="0.3">
      <c r="E134" s="54">
        <f t="shared" si="75"/>
        <v>71</v>
      </c>
      <c r="F134" s="55" t="s">
        <v>134</v>
      </c>
      <c r="G134" s="56">
        <v>3132</v>
      </c>
      <c r="H134" s="57">
        <f t="shared" si="74"/>
        <v>50000</v>
      </c>
      <c r="I134" s="59"/>
      <c r="J134" s="59"/>
      <c r="K134" s="58">
        <v>20000</v>
      </c>
      <c r="L134" s="59"/>
      <c r="M134" s="59"/>
      <c r="N134" s="59"/>
      <c r="O134" s="59"/>
      <c r="P134" s="59"/>
      <c r="Q134" s="59"/>
      <c r="R134" s="59"/>
      <c r="S134" s="58">
        <v>30000</v>
      </c>
      <c r="T134" s="229"/>
      <c r="U134" s="39">
        <f t="shared" si="64"/>
        <v>20000</v>
      </c>
      <c r="V134" s="64"/>
      <c r="W134" s="64"/>
      <c r="X134" s="41">
        <f t="shared" si="71"/>
        <v>0</v>
      </c>
      <c r="Y134" s="64"/>
      <c r="Z134" s="41">
        <f t="shared" si="72"/>
        <v>0</v>
      </c>
      <c r="AA134" s="42">
        <f t="shared" si="73"/>
        <v>-20000</v>
      </c>
      <c r="AB134" s="258"/>
      <c r="AC134" s="258"/>
      <c r="AD134" s="258"/>
    </row>
    <row r="135" spans="1:30" ht="36.75" thickBot="1" x14ac:dyDescent="0.3">
      <c r="E135" s="54">
        <f t="shared" si="75"/>
        <v>72</v>
      </c>
      <c r="F135" s="55" t="s">
        <v>135</v>
      </c>
      <c r="G135" s="56">
        <v>3132</v>
      </c>
      <c r="H135" s="57">
        <f t="shared" si="74"/>
        <v>50000</v>
      </c>
      <c r="I135" s="59"/>
      <c r="J135" s="59"/>
      <c r="K135" s="58">
        <v>20000</v>
      </c>
      <c r="L135" s="59"/>
      <c r="M135" s="59"/>
      <c r="N135" s="59"/>
      <c r="O135" s="59"/>
      <c r="P135" s="59"/>
      <c r="Q135" s="59"/>
      <c r="R135" s="59"/>
      <c r="S135" s="59"/>
      <c r="T135" s="144">
        <v>30000</v>
      </c>
      <c r="U135" s="39">
        <f t="shared" si="64"/>
        <v>20000</v>
      </c>
      <c r="V135" s="64"/>
      <c r="W135" s="64"/>
      <c r="X135" s="41">
        <f t="shared" si="71"/>
        <v>0</v>
      </c>
      <c r="Y135" s="64"/>
      <c r="Z135" s="41">
        <f t="shared" si="72"/>
        <v>0</v>
      </c>
      <c r="AA135" s="42">
        <f t="shared" si="73"/>
        <v>-20000</v>
      </c>
      <c r="AB135" s="258"/>
      <c r="AC135" s="258"/>
      <c r="AD135" s="258"/>
    </row>
    <row r="136" spans="1:30" ht="36.75" thickBot="1" x14ac:dyDescent="0.3">
      <c r="E136" s="54">
        <f t="shared" si="75"/>
        <v>73</v>
      </c>
      <c r="F136" s="55" t="s">
        <v>136</v>
      </c>
      <c r="G136" s="56">
        <v>3132</v>
      </c>
      <c r="H136" s="57">
        <f t="shared" si="74"/>
        <v>50000</v>
      </c>
      <c r="I136" s="59"/>
      <c r="J136" s="59"/>
      <c r="K136" s="58">
        <v>20000</v>
      </c>
      <c r="L136" s="59"/>
      <c r="M136" s="59"/>
      <c r="N136" s="59"/>
      <c r="O136" s="59"/>
      <c r="P136" s="59"/>
      <c r="Q136" s="59"/>
      <c r="R136" s="59"/>
      <c r="S136" s="59"/>
      <c r="T136" s="144">
        <v>30000</v>
      </c>
      <c r="U136" s="39">
        <f t="shared" si="64"/>
        <v>20000</v>
      </c>
      <c r="V136" s="64"/>
      <c r="W136" s="64"/>
      <c r="X136" s="41">
        <f t="shared" si="71"/>
        <v>0</v>
      </c>
      <c r="Y136" s="64"/>
      <c r="Z136" s="41">
        <f t="shared" si="72"/>
        <v>0</v>
      </c>
      <c r="AA136" s="42">
        <f>Y136-U136</f>
        <v>-20000</v>
      </c>
      <c r="AB136" s="258"/>
      <c r="AC136" s="258"/>
      <c r="AD136" s="258"/>
    </row>
    <row r="137" spans="1:30" ht="36.75" thickBot="1" x14ac:dyDescent="0.3">
      <c r="E137" s="54">
        <f t="shared" si="75"/>
        <v>74</v>
      </c>
      <c r="F137" s="55" t="s">
        <v>137</v>
      </c>
      <c r="G137" s="56">
        <v>3132</v>
      </c>
      <c r="H137" s="57">
        <f t="shared" si="74"/>
        <v>100000</v>
      </c>
      <c r="I137" s="59"/>
      <c r="J137" s="59"/>
      <c r="K137" s="58">
        <v>30000</v>
      </c>
      <c r="L137" s="59"/>
      <c r="M137" s="59"/>
      <c r="N137" s="59"/>
      <c r="O137" s="59"/>
      <c r="P137" s="59"/>
      <c r="Q137" s="59"/>
      <c r="R137" s="59"/>
      <c r="S137" s="58">
        <v>70000</v>
      </c>
      <c r="T137" s="229"/>
      <c r="U137" s="39">
        <f t="shared" si="64"/>
        <v>30000</v>
      </c>
      <c r="V137" s="64"/>
      <c r="W137" s="64"/>
      <c r="X137" s="41">
        <f t="shared" si="71"/>
        <v>0</v>
      </c>
      <c r="Y137" s="64"/>
      <c r="Z137" s="41">
        <f t="shared" si="72"/>
        <v>0</v>
      </c>
      <c r="AA137" s="42">
        <f t="shared" si="73"/>
        <v>-30000</v>
      </c>
      <c r="AB137" s="258"/>
      <c r="AC137" s="258"/>
      <c r="AD137" s="258"/>
    </row>
    <row r="138" spans="1:30" ht="36.75" thickBot="1" x14ac:dyDescent="0.3">
      <c r="E138" s="54">
        <f t="shared" si="75"/>
        <v>75</v>
      </c>
      <c r="F138" s="55" t="s">
        <v>138</v>
      </c>
      <c r="G138" s="56">
        <v>3132</v>
      </c>
      <c r="H138" s="57">
        <f t="shared" si="74"/>
        <v>70000</v>
      </c>
      <c r="I138" s="59"/>
      <c r="J138" s="59"/>
      <c r="K138" s="58">
        <v>25000</v>
      </c>
      <c r="L138" s="59"/>
      <c r="M138" s="59"/>
      <c r="N138" s="59"/>
      <c r="O138" s="59"/>
      <c r="P138" s="59"/>
      <c r="Q138" s="59"/>
      <c r="R138" s="59"/>
      <c r="S138" s="58">
        <v>45000</v>
      </c>
      <c r="T138" s="229"/>
      <c r="U138" s="39">
        <f t="shared" si="64"/>
        <v>25000</v>
      </c>
      <c r="V138" s="64"/>
      <c r="W138" s="64"/>
      <c r="X138" s="41">
        <f t="shared" si="71"/>
        <v>0</v>
      </c>
      <c r="Y138" s="64"/>
      <c r="Z138" s="41">
        <f t="shared" si="72"/>
        <v>0</v>
      </c>
      <c r="AA138" s="42">
        <f t="shared" si="73"/>
        <v>-25000</v>
      </c>
      <c r="AB138" s="258"/>
      <c r="AC138" s="258"/>
      <c r="AD138" s="258"/>
    </row>
    <row r="139" spans="1:30" ht="36.75" thickBot="1" x14ac:dyDescent="0.3">
      <c r="E139" s="54">
        <f t="shared" si="75"/>
        <v>76</v>
      </c>
      <c r="F139" s="55" t="s">
        <v>139</v>
      </c>
      <c r="G139" s="56">
        <v>3132</v>
      </c>
      <c r="H139" s="57">
        <f t="shared" si="74"/>
        <v>100000</v>
      </c>
      <c r="I139" s="59"/>
      <c r="J139" s="59"/>
      <c r="K139" s="58">
        <v>20000</v>
      </c>
      <c r="L139" s="59"/>
      <c r="M139" s="59"/>
      <c r="N139" s="59"/>
      <c r="O139" s="59"/>
      <c r="P139" s="59"/>
      <c r="Q139" s="59"/>
      <c r="R139" s="58">
        <v>80000</v>
      </c>
      <c r="S139" s="59"/>
      <c r="T139" s="229"/>
      <c r="U139" s="39">
        <f t="shared" si="64"/>
        <v>20000</v>
      </c>
      <c r="V139" s="64"/>
      <c r="W139" s="64"/>
      <c r="X139" s="41">
        <f t="shared" si="71"/>
        <v>0</v>
      </c>
      <c r="Y139" s="64"/>
      <c r="Z139" s="41">
        <f t="shared" si="72"/>
        <v>0</v>
      </c>
      <c r="AA139" s="42">
        <f t="shared" si="73"/>
        <v>-20000</v>
      </c>
      <c r="AB139" s="258"/>
      <c r="AC139" s="258"/>
      <c r="AD139" s="258"/>
    </row>
    <row r="140" spans="1:30" ht="36.75" thickBot="1" x14ac:dyDescent="0.3">
      <c r="E140" s="54">
        <f t="shared" si="75"/>
        <v>77</v>
      </c>
      <c r="F140" s="55" t="s">
        <v>140</v>
      </c>
      <c r="G140" s="56">
        <v>3132</v>
      </c>
      <c r="H140" s="57">
        <f t="shared" si="74"/>
        <v>100000</v>
      </c>
      <c r="I140" s="59"/>
      <c r="J140" s="59"/>
      <c r="K140" s="58">
        <v>20000</v>
      </c>
      <c r="L140" s="59"/>
      <c r="M140" s="59"/>
      <c r="N140" s="59"/>
      <c r="O140" s="59"/>
      <c r="P140" s="59"/>
      <c r="Q140" s="59"/>
      <c r="R140" s="58">
        <v>80000</v>
      </c>
      <c r="S140" s="59"/>
      <c r="T140" s="229"/>
      <c r="U140" s="39">
        <f t="shared" si="64"/>
        <v>20000</v>
      </c>
      <c r="V140" s="64"/>
      <c r="W140" s="64"/>
      <c r="X140" s="41">
        <f t="shared" si="71"/>
        <v>0</v>
      </c>
      <c r="Y140" s="64"/>
      <c r="Z140" s="41">
        <f t="shared" si="72"/>
        <v>0</v>
      </c>
      <c r="AA140" s="42">
        <f t="shared" si="73"/>
        <v>-20000</v>
      </c>
      <c r="AB140" s="258"/>
      <c r="AC140" s="258"/>
      <c r="AD140" s="258"/>
    </row>
    <row r="141" spans="1:30" ht="24.75" thickBot="1" x14ac:dyDescent="0.3">
      <c r="E141" s="54">
        <f t="shared" si="75"/>
        <v>78</v>
      </c>
      <c r="F141" s="55" t="s">
        <v>141</v>
      </c>
      <c r="G141" s="56">
        <v>3132</v>
      </c>
      <c r="H141" s="57">
        <f t="shared" si="74"/>
        <v>100000</v>
      </c>
      <c r="I141" s="59"/>
      <c r="J141" s="59"/>
      <c r="K141" s="58">
        <v>20000</v>
      </c>
      <c r="L141" s="59"/>
      <c r="M141" s="59"/>
      <c r="N141" s="59"/>
      <c r="O141" s="59"/>
      <c r="P141" s="59"/>
      <c r="Q141" s="59"/>
      <c r="R141" s="58">
        <v>80000</v>
      </c>
      <c r="S141" s="59"/>
      <c r="T141" s="229"/>
      <c r="U141" s="39">
        <f t="shared" si="64"/>
        <v>20000</v>
      </c>
      <c r="V141" s="64"/>
      <c r="W141" s="64"/>
      <c r="X141" s="41">
        <f t="shared" si="71"/>
        <v>0</v>
      </c>
      <c r="Y141" s="64"/>
      <c r="Z141" s="41">
        <f t="shared" si="72"/>
        <v>0</v>
      </c>
      <c r="AA141" s="42">
        <f t="shared" si="73"/>
        <v>-20000</v>
      </c>
      <c r="AB141" s="258"/>
      <c r="AC141" s="258"/>
      <c r="AD141" s="258"/>
    </row>
    <row r="142" spans="1:30" ht="36.75" thickBot="1" x14ac:dyDescent="0.3">
      <c r="E142" s="54">
        <f t="shared" si="75"/>
        <v>79</v>
      </c>
      <c r="F142" s="55" t="s">
        <v>142</v>
      </c>
      <c r="G142" s="56">
        <v>3132</v>
      </c>
      <c r="H142" s="57">
        <f t="shared" si="74"/>
        <v>150000</v>
      </c>
      <c r="I142" s="59"/>
      <c r="J142" s="59"/>
      <c r="K142" s="58">
        <v>25000</v>
      </c>
      <c r="L142" s="59"/>
      <c r="M142" s="59"/>
      <c r="N142" s="59"/>
      <c r="O142" s="59"/>
      <c r="P142" s="59"/>
      <c r="Q142" s="59"/>
      <c r="R142" s="58">
        <v>125000</v>
      </c>
      <c r="S142" s="59"/>
      <c r="T142" s="229"/>
      <c r="U142" s="39">
        <f t="shared" si="64"/>
        <v>25000</v>
      </c>
      <c r="V142" s="64"/>
      <c r="W142" s="64"/>
      <c r="X142" s="41">
        <f t="shared" si="71"/>
        <v>0</v>
      </c>
      <c r="Y142" s="64"/>
      <c r="Z142" s="41">
        <f t="shared" si="72"/>
        <v>0</v>
      </c>
      <c r="AA142" s="42">
        <f t="shared" si="73"/>
        <v>-25000</v>
      </c>
      <c r="AB142" s="258"/>
      <c r="AC142" s="258"/>
      <c r="AD142" s="258"/>
    </row>
    <row r="143" spans="1:30" ht="36.75" thickBot="1" x14ac:dyDescent="0.3">
      <c r="A143" t="s">
        <v>226</v>
      </c>
      <c r="D143" t="s">
        <v>227</v>
      </c>
      <c r="E143" s="54">
        <f t="shared" si="75"/>
        <v>80</v>
      </c>
      <c r="F143" s="55" t="s">
        <v>143</v>
      </c>
      <c r="G143" s="56">
        <v>3133</v>
      </c>
      <c r="H143" s="57">
        <f t="shared" si="74"/>
        <v>144424</v>
      </c>
      <c r="I143" s="58">
        <v>144424</v>
      </c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229"/>
      <c r="U143" s="39">
        <f t="shared" si="64"/>
        <v>144424</v>
      </c>
      <c r="V143" s="125">
        <f>139500+1940</f>
        <v>141440</v>
      </c>
      <c r="W143" s="125">
        <f>139500+1940</f>
        <v>141440</v>
      </c>
      <c r="X143" s="41">
        <f t="shared" si="71"/>
        <v>0</v>
      </c>
      <c r="Y143" s="125">
        <f>139500+1940</f>
        <v>141440</v>
      </c>
      <c r="Z143" s="41">
        <f t="shared" si="72"/>
        <v>0</v>
      </c>
      <c r="AA143" s="42">
        <f t="shared" si="73"/>
        <v>-2984</v>
      </c>
      <c r="AB143" s="258"/>
      <c r="AC143" s="258"/>
      <c r="AD143" s="258"/>
    </row>
    <row r="144" spans="1:30" ht="57" thickBot="1" x14ac:dyDescent="0.3">
      <c r="E144" s="54">
        <f t="shared" si="75"/>
        <v>81</v>
      </c>
      <c r="F144" s="184" t="s">
        <v>275</v>
      </c>
      <c r="G144" s="180">
        <v>3133</v>
      </c>
      <c r="H144" s="181">
        <f t="shared" si="74"/>
        <v>450000</v>
      </c>
      <c r="I144" s="183"/>
      <c r="J144" s="182">
        <v>20000</v>
      </c>
      <c r="K144" s="182">
        <v>50000</v>
      </c>
      <c r="L144" s="183"/>
      <c r="M144" s="182">
        <v>380000</v>
      </c>
      <c r="N144" s="183"/>
      <c r="O144" s="183"/>
      <c r="P144" s="183"/>
      <c r="Q144" s="183"/>
      <c r="R144" s="183"/>
      <c r="S144" s="183"/>
      <c r="T144" s="229"/>
      <c r="U144" s="39">
        <f t="shared" si="64"/>
        <v>450000</v>
      </c>
      <c r="V144" s="148"/>
      <c r="W144" s="148"/>
      <c r="X144" s="41">
        <f t="shared" si="71"/>
        <v>0</v>
      </c>
      <c r="Y144" s="148"/>
      <c r="Z144" s="41">
        <f t="shared" si="72"/>
        <v>0</v>
      </c>
      <c r="AA144" s="42">
        <f t="shared" si="73"/>
        <v>-450000</v>
      </c>
      <c r="AB144" s="258"/>
      <c r="AC144" s="258"/>
      <c r="AD144" s="258"/>
    </row>
    <row r="145" spans="1:30" ht="45.75" thickBot="1" x14ac:dyDescent="0.3">
      <c r="E145" s="54">
        <f t="shared" si="75"/>
        <v>82</v>
      </c>
      <c r="F145" s="184" t="s">
        <v>276</v>
      </c>
      <c r="G145" s="180">
        <v>3133</v>
      </c>
      <c r="H145" s="181">
        <f t="shared" si="74"/>
        <v>450000</v>
      </c>
      <c r="I145" s="183"/>
      <c r="J145" s="183"/>
      <c r="K145" s="183"/>
      <c r="L145" s="183"/>
      <c r="M145" s="182">
        <v>120000</v>
      </c>
      <c r="N145" s="183"/>
      <c r="O145" s="182">
        <v>330000</v>
      </c>
      <c r="P145" s="183"/>
      <c r="Q145" s="183"/>
      <c r="R145" s="183"/>
      <c r="S145" s="183"/>
      <c r="T145" s="229"/>
      <c r="U145" s="39">
        <f t="shared" si="64"/>
        <v>450000</v>
      </c>
      <c r="V145" s="148"/>
      <c r="W145" s="148"/>
      <c r="X145" s="41">
        <f t="shared" si="71"/>
        <v>0</v>
      </c>
      <c r="Y145" s="148"/>
      <c r="Z145" s="41">
        <f t="shared" si="72"/>
        <v>0</v>
      </c>
      <c r="AA145" s="42">
        <f t="shared" si="73"/>
        <v>-450000</v>
      </c>
      <c r="AB145" s="258"/>
      <c r="AC145" s="258"/>
      <c r="AD145" s="258"/>
    </row>
    <row r="146" spans="1:30" ht="45.75" thickBot="1" x14ac:dyDescent="0.3">
      <c r="E146" s="54">
        <f t="shared" si="75"/>
        <v>83</v>
      </c>
      <c r="F146" s="184" t="s">
        <v>277</v>
      </c>
      <c r="G146" s="180">
        <v>3133</v>
      </c>
      <c r="H146" s="181">
        <f t="shared" si="74"/>
        <v>395000</v>
      </c>
      <c r="I146" s="183"/>
      <c r="J146" s="183"/>
      <c r="K146" s="183"/>
      <c r="L146" s="183"/>
      <c r="M146" s="183"/>
      <c r="N146" s="183"/>
      <c r="O146" s="182">
        <v>170000</v>
      </c>
      <c r="P146" s="182">
        <v>225000</v>
      </c>
      <c r="Q146" s="183"/>
      <c r="R146" s="183"/>
      <c r="S146" s="183"/>
      <c r="T146" s="229"/>
      <c r="U146" s="39">
        <f t="shared" si="64"/>
        <v>170000</v>
      </c>
      <c r="V146" s="148"/>
      <c r="W146" s="148"/>
      <c r="X146" s="41">
        <f t="shared" si="71"/>
        <v>0</v>
      </c>
      <c r="Y146" s="148"/>
      <c r="Z146" s="41">
        <f t="shared" si="72"/>
        <v>0</v>
      </c>
      <c r="AA146" s="42">
        <f t="shared" si="73"/>
        <v>-170000</v>
      </c>
      <c r="AB146" s="258"/>
      <c r="AC146" s="258"/>
      <c r="AD146" s="258"/>
    </row>
    <row r="147" spans="1:30" ht="57" thickBot="1" x14ac:dyDescent="0.3">
      <c r="E147" s="54">
        <f t="shared" si="75"/>
        <v>84</v>
      </c>
      <c r="F147" s="184" t="s">
        <v>278</v>
      </c>
      <c r="G147" s="180">
        <v>3133</v>
      </c>
      <c r="H147" s="181">
        <f t="shared" si="74"/>
        <v>450000</v>
      </c>
      <c r="I147" s="183"/>
      <c r="J147" s="183"/>
      <c r="K147" s="183"/>
      <c r="L147" s="183"/>
      <c r="M147" s="183"/>
      <c r="N147" s="183"/>
      <c r="O147" s="183"/>
      <c r="P147" s="182">
        <v>225000</v>
      </c>
      <c r="Q147" s="182">
        <v>225000</v>
      </c>
      <c r="R147" s="183"/>
      <c r="S147" s="183"/>
      <c r="T147" s="229"/>
      <c r="U147" s="39">
        <f t="shared" si="64"/>
        <v>0</v>
      </c>
      <c r="V147" s="148"/>
      <c r="W147" s="148"/>
      <c r="X147" s="41">
        <f t="shared" si="71"/>
        <v>0</v>
      </c>
      <c r="Y147" s="148"/>
      <c r="Z147" s="41">
        <f t="shared" si="72"/>
        <v>0</v>
      </c>
      <c r="AA147" s="42">
        <f t="shared" si="73"/>
        <v>0</v>
      </c>
      <c r="AB147" s="258"/>
      <c r="AC147" s="258"/>
      <c r="AD147" s="258"/>
    </row>
    <row r="148" spans="1:30" ht="15.75" customHeight="1" thickBot="1" x14ac:dyDescent="0.3">
      <c r="E148" s="478" t="s">
        <v>144</v>
      </c>
      <c r="F148" s="479"/>
      <c r="G148" s="479"/>
      <c r="H148" s="53">
        <f>H149</f>
        <v>299000</v>
      </c>
      <c r="I148" s="53">
        <f t="shared" ref="I148:AA148" si="76">I149</f>
        <v>0</v>
      </c>
      <c r="J148" s="53">
        <f t="shared" si="76"/>
        <v>0</v>
      </c>
      <c r="K148" s="53">
        <f t="shared" si="76"/>
        <v>50000</v>
      </c>
      <c r="L148" s="53">
        <f t="shared" si="76"/>
        <v>0</v>
      </c>
      <c r="M148" s="53">
        <f t="shared" si="76"/>
        <v>0</v>
      </c>
      <c r="N148" s="53">
        <f t="shared" si="76"/>
        <v>0</v>
      </c>
      <c r="O148" s="53">
        <f t="shared" si="76"/>
        <v>0</v>
      </c>
      <c r="P148" s="53">
        <f t="shared" si="76"/>
        <v>0</v>
      </c>
      <c r="Q148" s="53">
        <f t="shared" si="76"/>
        <v>0</v>
      </c>
      <c r="R148" s="53">
        <f t="shared" si="76"/>
        <v>0</v>
      </c>
      <c r="S148" s="53">
        <f t="shared" si="76"/>
        <v>0</v>
      </c>
      <c r="T148" s="226">
        <f t="shared" si="76"/>
        <v>249000</v>
      </c>
      <c r="U148" s="39">
        <f t="shared" si="64"/>
        <v>50000</v>
      </c>
      <c r="V148" s="53">
        <f t="shared" si="76"/>
        <v>0</v>
      </c>
      <c r="W148" s="53">
        <f t="shared" si="76"/>
        <v>0</v>
      </c>
      <c r="X148" s="53">
        <f t="shared" si="76"/>
        <v>0</v>
      </c>
      <c r="Y148" s="53">
        <f t="shared" si="76"/>
        <v>6088</v>
      </c>
      <c r="Z148" s="53">
        <f t="shared" si="76"/>
        <v>6088</v>
      </c>
      <c r="AA148" s="53">
        <f t="shared" si="76"/>
        <v>-43912</v>
      </c>
      <c r="AB148" s="263"/>
      <c r="AC148" s="263"/>
      <c r="AD148" s="263"/>
    </row>
    <row r="149" spans="1:30" ht="45.75" thickBot="1" x14ac:dyDescent="0.3">
      <c r="A149" t="s">
        <v>338</v>
      </c>
      <c r="B149" t="s">
        <v>339</v>
      </c>
      <c r="D149" t="s">
        <v>340</v>
      </c>
      <c r="E149" s="54">
        <f>E147+1</f>
        <v>85</v>
      </c>
      <c r="F149" s="184" t="s">
        <v>279</v>
      </c>
      <c r="G149" s="56">
        <v>3132</v>
      </c>
      <c r="H149" s="57">
        <v>299000</v>
      </c>
      <c r="I149" s="59"/>
      <c r="J149" s="59"/>
      <c r="K149" s="58">
        <v>50000</v>
      </c>
      <c r="L149" s="59"/>
      <c r="M149" s="59"/>
      <c r="N149" s="59"/>
      <c r="O149" s="59"/>
      <c r="P149" s="59"/>
      <c r="Q149" s="59"/>
      <c r="R149" s="59"/>
      <c r="S149" s="59"/>
      <c r="T149" s="144">
        <v>249000</v>
      </c>
      <c r="U149" s="39">
        <f t="shared" si="64"/>
        <v>50000</v>
      </c>
      <c r="V149" s="64"/>
      <c r="W149" s="64"/>
      <c r="X149" s="41">
        <f t="shared" ref="X149" si="77">W149-V149</f>
        <v>0</v>
      </c>
      <c r="Y149" s="125">
        <f>6088</f>
        <v>6088</v>
      </c>
      <c r="Z149" s="41">
        <f t="shared" ref="Z149" si="78">Y149-V149</f>
        <v>6088</v>
      </c>
      <c r="AA149" s="42">
        <f t="shared" ref="AA149" si="79">Y149-U149</f>
        <v>-43912</v>
      </c>
      <c r="AB149" s="258"/>
      <c r="AC149" s="258"/>
      <c r="AD149" s="258"/>
    </row>
    <row r="150" spans="1:30" ht="15.75" customHeight="1" thickBot="1" x14ac:dyDescent="0.3">
      <c r="E150" s="478" t="s">
        <v>145</v>
      </c>
      <c r="F150" s="479"/>
      <c r="G150" s="479"/>
      <c r="H150" s="53">
        <f>SUM(H151:H155)</f>
        <v>1141450</v>
      </c>
      <c r="I150" s="53">
        <f>SUM(I151:I155)-I153</f>
        <v>726000</v>
      </c>
      <c r="J150" s="53">
        <f t="shared" ref="J150:T150" si="80">SUM(J151:J155)-J153</f>
        <v>130450</v>
      </c>
      <c r="K150" s="53">
        <f t="shared" si="80"/>
        <v>15000</v>
      </c>
      <c r="L150" s="53">
        <f t="shared" si="80"/>
        <v>0</v>
      </c>
      <c r="M150" s="53">
        <f t="shared" si="80"/>
        <v>0</v>
      </c>
      <c r="N150" s="53">
        <f t="shared" si="80"/>
        <v>0</v>
      </c>
      <c r="O150" s="53">
        <f t="shared" si="80"/>
        <v>0</v>
      </c>
      <c r="P150" s="53">
        <f t="shared" si="80"/>
        <v>0</v>
      </c>
      <c r="Q150" s="53">
        <f t="shared" si="80"/>
        <v>0</v>
      </c>
      <c r="R150" s="53">
        <f t="shared" si="80"/>
        <v>0</v>
      </c>
      <c r="S150" s="53">
        <f t="shared" si="80"/>
        <v>0</v>
      </c>
      <c r="T150" s="226">
        <f t="shared" si="80"/>
        <v>270000</v>
      </c>
      <c r="U150" s="39">
        <f t="shared" si="64"/>
        <v>871450</v>
      </c>
      <c r="V150" s="53">
        <f t="shared" ref="V150:AA150" si="81">SUM(V151:V155)</f>
        <v>691011.74</v>
      </c>
      <c r="W150" s="53">
        <f t="shared" si="81"/>
        <v>691011.74</v>
      </c>
      <c r="X150" s="53">
        <f t="shared" si="81"/>
        <v>0</v>
      </c>
      <c r="Y150" s="53">
        <f t="shared" si="81"/>
        <v>691011.74</v>
      </c>
      <c r="Z150" s="53">
        <f t="shared" si="81"/>
        <v>0</v>
      </c>
      <c r="AA150" s="53">
        <f t="shared" si="81"/>
        <v>-180438.26</v>
      </c>
      <c r="AB150" s="263"/>
      <c r="AC150" s="263"/>
      <c r="AD150" s="263"/>
    </row>
    <row r="151" spans="1:30" ht="48.75" thickBot="1" x14ac:dyDescent="0.3">
      <c r="A151" t="s">
        <v>231</v>
      </c>
      <c r="B151" t="s">
        <v>232</v>
      </c>
      <c r="D151" s="484" t="s">
        <v>219</v>
      </c>
      <c r="E151" s="54">
        <f>E149+1</f>
        <v>86</v>
      </c>
      <c r="F151" s="179" t="s">
        <v>146</v>
      </c>
      <c r="G151" s="180">
        <v>3132</v>
      </c>
      <c r="H151" s="181">
        <f>SUM(I151:T151)</f>
        <v>300000</v>
      </c>
      <c r="I151" s="182">
        <v>300000</v>
      </c>
      <c r="J151" s="183"/>
      <c r="K151" s="183"/>
      <c r="L151" s="183"/>
      <c r="M151" s="183"/>
      <c r="N151" s="59"/>
      <c r="O151" s="59"/>
      <c r="P151" s="59"/>
      <c r="Q151" s="59"/>
      <c r="R151" s="59"/>
      <c r="S151" s="59"/>
      <c r="T151" s="229"/>
      <c r="U151" s="39">
        <f t="shared" si="64"/>
        <v>300000</v>
      </c>
      <c r="V151" s="125">
        <f>286880+4252.93</f>
        <v>291132.93</v>
      </c>
      <c r="W151" s="125">
        <f>286880+4252.93</f>
        <v>291132.93</v>
      </c>
      <c r="X151" s="41">
        <f t="shared" ref="X151:X155" si="82">W151-V151</f>
        <v>0</v>
      </c>
      <c r="Y151" s="125">
        <f>286880+4252.93</f>
        <v>291132.93</v>
      </c>
      <c r="Z151" s="41">
        <f t="shared" ref="Z151:Z155" si="83">Y151-V151</f>
        <v>0</v>
      </c>
      <c r="AA151" s="42">
        <f t="shared" ref="AA151:AA155" si="84">Y151-U151</f>
        <v>-8867.070000000007</v>
      </c>
      <c r="AB151" s="258"/>
      <c r="AC151" s="258"/>
      <c r="AD151" s="258"/>
    </row>
    <row r="152" spans="1:30" ht="48.75" thickBot="1" x14ac:dyDescent="0.3">
      <c r="A152" t="s">
        <v>233</v>
      </c>
      <c r="B152" t="s">
        <v>232</v>
      </c>
      <c r="D152" s="484"/>
      <c r="E152" s="54">
        <f>E151+1</f>
        <v>87</v>
      </c>
      <c r="F152" s="179" t="s">
        <v>147</v>
      </c>
      <c r="G152" s="180">
        <v>3132</v>
      </c>
      <c r="H152" s="181">
        <f t="shared" ref="H152:H155" si="85">SUM(I152:T152)</f>
        <v>241450</v>
      </c>
      <c r="I152" s="182">
        <v>111000</v>
      </c>
      <c r="J152" s="182">
        <v>130450</v>
      </c>
      <c r="K152" s="183"/>
      <c r="L152" s="183"/>
      <c r="M152" s="183"/>
      <c r="N152" s="59"/>
      <c r="O152" s="59"/>
      <c r="P152" s="59"/>
      <c r="Q152" s="59"/>
      <c r="R152" s="59"/>
      <c r="S152" s="59"/>
      <c r="T152" s="229"/>
      <c r="U152" s="39">
        <f t="shared" si="64"/>
        <v>241450</v>
      </c>
      <c r="V152" s="125">
        <f>106570+1580.51</f>
        <v>108150.51</v>
      </c>
      <c r="W152" s="125">
        <f>106570+1580.51</f>
        <v>108150.51</v>
      </c>
      <c r="X152" s="41">
        <f t="shared" si="82"/>
        <v>0</v>
      </c>
      <c r="Y152" s="125">
        <f>106570+1580.51</f>
        <v>108150.51</v>
      </c>
      <c r="Z152" s="41">
        <f t="shared" si="83"/>
        <v>0</v>
      </c>
      <c r="AA152" s="42">
        <f t="shared" si="84"/>
        <v>-133299.49</v>
      </c>
      <c r="AB152" s="258"/>
      <c r="AC152" s="258"/>
      <c r="AD152" s="258"/>
    </row>
    <row r="153" spans="1:30" ht="15.75" thickBot="1" x14ac:dyDescent="0.3">
      <c r="D153" s="149"/>
      <c r="E153" s="54"/>
      <c r="F153" s="179"/>
      <c r="G153" s="180"/>
      <c r="H153" s="181"/>
      <c r="I153" s="188"/>
      <c r="J153" s="189">
        <v>130450</v>
      </c>
      <c r="K153" s="188"/>
      <c r="L153" s="188"/>
      <c r="M153" s="188"/>
      <c r="N153" s="145"/>
      <c r="O153" s="145"/>
      <c r="P153" s="145"/>
      <c r="Q153" s="145"/>
      <c r="R153" s="145"/>
      <c r="S153" s="145"/>
      <c r="T153" s="230"/>
      <c r="U153" s="39">
        <f t="shared" si="64"/>
        <v>130450</v>
      </c>
      <c r="V153" s="125"/>
      <c r="W153" s="125"/>
      <c r="X153" s="41"/>
      <c r="Y153" s="125"/>
      <c r="Z153" s="41"/>
      <c r="AA153" s="42"/>
      <c r="AB153" s="258"/>
      <c r="AC153" s="258"/>
      <c r="AD153" s="258"/>
    </row>
    <row r="154" spans="1:30" ht="48.75" thickBot="1" x14ac:dyDescent="0.3">
      <c r="A154" t="s">
        <v>234</v>
      </c>
      <c r="B154" t="s">
        <v>232</v>
      </c>
      <c r="D154" t="s">
        <v>218</v>
      </c>
      <c r="E154" s="54">
        <f>E152+1</f>
        <v>88</v>
      </c>
      <c r="F154" s="179" t="s">
        <v>148</v>
      </c>
      <c r="G154" s="180">
        <v>3132</v>
      </c>
      <c r="H154" s="181">
        <f t="shared" si="85"/>
        <v>300000</v>
      </c>
      <c r="I154" s="182">
        <v>300000</v>
      </c>
      <c r="J154" s="183"/>
      <c r="K154" s="183"/>
      <c r="L154" s="183"/>
      <c r="M154" s="183"/>
      <c r="N154" s="59"/>
      <c r="O154" s="59"/>
      <c r="P154" s="59"/>
      <c r="Q154" s="59"/>
      <c r="R154" s="59"/>
      <c r="S154" s="59"/>
      <c r="T154" s="229"/>
      <c r="U154" s="39">
        <f t="shared" si="64"/>
        <v>300000</v>
      </c>
      <c r="V154" s="125">
        <f>287460+4268.3</f>
        <v>291728.3</v>
      </c>
      <c r="W154" s="125">
        <f>287460+4268.3</f>
        <v>291728.3</v>
      </c>
      <c r="X154" s="41">
        <f t="shared" si="82"/>
        <v>0</v>
      </c>
      <c r="Y154" s="125">
        <f>287460+4268.3</f>
        <v>291728.3</v>
      </c>
      <c r="Z154" s="41">
        <f t="shared" si="83"/>
        <v>0</v>
      </c>
      <c r="AA154" s="42">
        <f t="shared" si="84"/>
        <v>-8271.7000000000116</v>
      </c>
      <c r="AB154" s="258"/>
      <c r="AC154" s="258"/>
      <c r="AD154" s="258"/>
    </row>
    <row r="155" spans="1:30" ht="48.75" thickBot="1" x14ac:dyDescent="0.3">
      <c r="E155" s="54">
        <f t="shared" ref="E155" si="86">E154+1</f>
        <v>89</v>
      </c>
      <c r="F155" s="179" t="s">
        <v>149</v>
      </c>
      <c r="G155" s="180">
        <v>3132</v>
      </c>
      <c r="H155" s="181">
        <f t="shared" si="85"/>
        <v>300000</v>
      </c>
      <c r="I155" s="182">
        <v>15000</v>
      </c>
      <c r="J155" s="183"/>
      <c r="K155" s="182">
        <v>15000</v>
      </c>
      <c r="L155" s="183"/>
      <c r="M155" s="183"/>
      <c r="N155" s="59"/>
      <c r="O155" s="59"/>
      <c r="P155" s="59"/>
      <c r="Q155" s="59"/>
      <c r="R155" s="59"/>
      <c r="S155" s="59"/>
      <c r="T155" s="144">
        <v>270000</v>
      </c>
      <c r="U155" s="39">
        <f t="shared" si="64"/>
        <v>30000</v>
      </c>
      <c r="V155" s="64"/>
      <c r="W155" s="64"/>
      <c r="X155" s="41">
        <f t="shared" si="82"/>
        <v>0</v>
      </c>
      <c r="Y155" s="64"/>
      <c r="Z155" s="41">
        <f t="shared" si="83"/>
        <v>0</v>
      </c>
      <c r="AA155" s="42">
        <f t="shared" si="84"/>
        <v>-30000</v>
      </c>
      <c r="AB155" s="258"/>
      <c r="AC155" s="258"/>
      <c r="AD155" s="258"/>
    </row>
    <row r="156" spans="1:30" ht="16.5" customHeight="1" thickBot="1" x14ac:dyDescent="0.3">
      <c r="E156" s="478" t="s">
        <v>150</v>
      </c>
      <c r="F156" s="479"/>
      <c r="G156" s="479"/>
      <c r="H156" s="53">
        <f>SUM(H157:H160)</f>
        <v>1650000</v>
      </c>
      <c r="I156" s="53">
        <f>SUM(I157:I160)</f>
        <v>50000</v>
      </c>
      <c r="J156" s="53">
        <f t="shared" ref="J156:AA156" si="87">SUM(J157:J160)</f>
        <v>0</v>
      </c>
      <c r="K156" s="53">
        <f t="shared" si="87"/>
        <v>50000</v>
      </c>
      <c r="L156" s="53">
        <f t="shared" si="87"/>
        <v>350000</v>
      </c>
      <c r="M156" s="53">
        <f t="shared" si="87"/>
        <v>0</v>
      </c>
      <c r="N156" s="53">
        <f t="shared" si="87"/>
        <v>0</v>
      </c>
      <c r="O156" s="53">
        <f t="shared" si="87"/>
        <v>0</v>
      </c>
      <c r="P156" s="53">
        <f t="shared" si="87"/>
        <v>700000</v>
      </c>
      <c r="Q156" s="53">
        <f t="shared" si="87"/>
        <v>500000</v>
      </c>
      <c r="R156" s="53">
        <f t="shared" si="87"/>
        <v>0</v>
      </c>
      <c r="S156" s="53">
        <f t="shared" si="87"/>
        <v>0</v>
      </c>
      <c r="T156" s="226">
        <f t="shared" si="87"/>
        <v>0</v>
      </c>
      <c r="U156" s="39">
        <f t="shared" si="64"/>
        <v>450000</v>
      </c>
      <c r="V156" s="53">
        <f t="shared" si="87"/>
        <v>0</v>
      </c>
      <c r="W156" s="53">
        <f t="shared" si="87"/>
        <v>0</v>
      </c>
      <c r="X156" s="53">
        <f t="shared" si="87"/>
        <v>0</v>
      </c>
      <c r="Y156" s="53">
        <f t="shared" si="87"/>
        <v>70323</v>
      </c>
      <c r="Z156" s="53">
        <f t="shared" si="87"/>
        <v>70323</v>
      </c>
      <c r="AA156" s="53">
        <f t="shared" si="87"/>
        <v>-379677</v>
      </c>
      <c r="AB156" s="263"/>
      <c r="AC156" s="263"/>
      <c r="AD156" s="263"/>
    </row>
    <row r="157" spans="1:30" ht="48.75" thickBot="1" x14ac:dyDescent="0.3">
      <c r="A157" s="174" t="s">
        <v>346</v>
      </c>
      <c r="B157" s="102">
        <v>44644</v>
      </c>
      <c r="D157" t="s">
        <v>344</v>
      </c>
      <c r="E157" s="54">
        <f>E155+1</f>
        <v>90</v>
      </c>
      <c r="F157" s="179" t="s">
        <v>151</v>
      </c>
      <c r="G157" s="180">
        <v>3132</v>
      </c>
      <c r="H157" s="181">
        <f>SUM(I157:T157)</f>
        <v>400000</v>
      </c>
      <c r="I157" s="183"/>
      <c r="J157" s="183"/>
      <c r="K157" s="182">
        <v>50000</v>
      </c>
      <c r="L157" s="182">
        <v>350000</v>
      </c>
      <c r="M157" s="183"/>
      <c r="N157" s="183"/>
      <c r="O157" s="183"/>
      <c r="P157" s="183"/>
      <c r="Q157" s="183"/>
      <c r="R157" s="183"/>
      <c r="S157" s="59"/>
      <c r="T157" s="229"/>
      <c r="U157" s="39">
        <f t="shared" si="64"/>
        <v>400000</v>
      </c>
      <c r="V157" s="64"/>
      <c r="W157" s="64"/>
      <c r="X157" s="41">
        <f t="shared" ref="X157:X160" si="88">W157-V157</f>
        <v>0</v>
      </c>
      <c r="Y157" s="125">
        <f>25956</f>
        <v>25956</v>
      </c>
      <c r="Z157" s="41">
        <f t="shared" ref="Z157:Z160" si="89">Y157-V157</f>
        <v>25956</v>
      </c>
      <c r="AA157" s="42">
        <f t="shared" ref="AA157:AA160" si="90">Y157-U157</f>
        <v>-374044</v>
      </c>
      <c r="AB157" s="258"/>
      <c r="AC157" s="258"/>
      <c r="AD157" s="258"/>
    </row>
    <row r="158" spans="1:30" ht="45.75" thickBot="1" x14ac:dyDescent="0.3">
      <c r="E158" s="54">
        <f>E157+1</f>
        <v>91</v>
      </c>
      <c r="F158" s="184" t="s">
        <v>152</v>
      </c>
      <c r="G158" s="180">
        <v>3132</v>
      </c>
      <c r="H158" s="181">
        <f t="shared" ref="H158:H160" si="91">SUM(I158:T158)</f>
        <v>300000</v>
      </c>
      <c r="I158" s="182">
        <v>50000</v>
      </c>
      <c r="J158" s="183"/>
      <c r="K158" s="183"/>
      <c r="L158" s="183"/>
      <c r="M158" s="183"/>
      <c r="N158" s="183"/>
      <c r="O158" s="183"/>
      <c r="P158" s="182">
        <v>250000</v>
      </c>
      <c r="Q158" s="183"/>
      <c r="R158" s="183"/>
      <c r="S158" s="59"/>
      <c r="T158" s="229"/>
      <c r="U158" s="39">
        <f t="shared" si="64"/>
        <v>50000</v>
      </c>
      <c r="V158" s="128"/>
      <c r="W158" s="129"/>
      <c r="X158" s="41">
        <f t="shared" si="88"/>
        <v>0</v>
      </c>
      <c r="Y158" s="125">
        <f>28470</f>
        <v>28470</v>
      </c>
      <c r="Z158" s="41">
        <f t="shared" si="89"/>
        <v>28470</v>
      </c>
      <c r="AA158" s="42">
        <f t="shared" si="90"/>
        <v>-21530</v>
      </c>
      <c r="AB158" s="258"/>
      <c r="AC158" s="258"/>
      <c r="AD158" s="258"/>
    </row>
    <row r="159" spans="1:30" ht="45.75" thickBot="1" x14ac:dyDescent="0.3">
      <c r="A159" s="174" t="s">
        <v>346</v>
      </c>
      <c r="B159" s="102">
        <v>44644</v>
      </c>
      <c r="D159" t="s">
        <v>344</v>
      </c>
      <c r="E159" s="54">
        <f t="shared" ref="E159:E160" si="92">E158+1</f>
        <v>92</v>
      </c>
      <c r="F159" s="184" t="s">
        <v>280</v>
      </c>
      <c r="G159" s="180">
        <v>3132</v>
      </c>
      <c r="H159" s="181">
        <f t="shared" si="91"/>
        <v>500000</v>
      </c>
      <c r="I159" s="183"/>
      <c r="J159" s="183"/>
      <c r="K159" s="183"/>
      <c r="L159" s="183"/>
      <c r="M159" s="183"/>
      <c r="N159" s="183"/>
      <c r="O159" s="183"/>
      <c r="P159" s="183"/>
      <c r="Q159" s="182">
        <v>500000</v>
      </c>
      <c r="R159" s="183"/>
      <c r="S159" s="59"/>
      <c r="T159" s="229"/>
      <c r="U159" s="39">
        <f t="shared" si="64"/>
        <v>0</v>
      </c>
      <c r="V159" s="128"/>
      <c r="W159" s="129"/>
      <c r="X159" s="41">
        <f t="shared" si="88"/>
        <v>0</v>
      </c>
      <c r="Y159" s="176"/>
      <c r="Z159" s="41">
        <f t="shared" si="89"/>
        <v>0</v>
      </c>
      <c r="AA159" s="42">
        <f t="shared" si="90"/>
        <v>0</v>
      </c>
      <c r="AB159" s="258"/>
      <c r="AC159" s="258"/>
      <c r="AD159" s="258"/>
    </row>
    <row r="160" spans="1:30" ht="57" thickBot="1" x14ac:dyDescent="0.3">
      <c r="A160" s="174" t="s">
        <v>346</v>
      </c>
      <c r="B160" s="102">
        <v>44644</v>
      </c>
      <c r="D160" t="s">
        <v>344</v>
      </c>
      <c r="E160" s="54">
        <f t="shared" si="92"/>
        <v>93</v>
      </c>
      <c r="F160" s="184" t="s">
        <v>281</v>
      </c>
      <c r="G160" s="180">
        <v>3132</v>
      </c>
      <c r="H160" s="181">
        <f t="shared" si="91"/>
        <v>450000</v>
      </c>
      <c r="I160" s="183"/>
      <c r="J160" s="183"/>
      <c r="K160" s="183"/>
      <c r="L160" s="183"/>
      <c r="M160" s="183"/>
      <c r="N160" s="183"/>
      <c r="O160" s="183"/>
      <c r="P160" s="182">
        <v>450000</v>
      </c>
      <c r="Q160" s="183"/>
      <c r="R160" s="183"/>
      <c r="S160" s="59"/>
      <c r="T160" s="229"/>
      <c r="U160" s="39">
        <f t="shared" si="64"/>
        <v>0</v>
      </c>
      <c r="V160" s="128"/>
      <c r="W160" s="129"/>
      <c r="X160" s="41">
        <f t="shared" si="88"/>
        <v>0</v>
      </c>
      <c r="Y160" s="126">
        <v>15897</v>
      </c>
      <c r="Z160" s="41">
        <f t="shared" si="89"/>
        <v>15897</v>
      </c>
      <c r="AA160" s="42">
        <f t="shared" si="90"/>
        <v>15897</v>
      </c>
      <c r="AB160" s="258"/>
      <c r="AC160" s="258"/>
      <c r="AD160" s="258"/>
    </row>
    <row r="161" spans="1:32" ht="15.75" thickBot="1" x14ac:dyDescent="0.3">
      <c r="E161" s="127"/>
      <c r="F161" s="131" t="s">
        <v>245</v>
      </c>
      <c r="G161" s="480">
        <f>SUM(I161:T161)</f>
        <v>32028864</v>
      </c>
      <c r="H161" s="481"/>
      <c r="I161" s="132">
        <f>SUM(I156+I150+I148+I128+I123+I95+I78+I56)</f>
        <v>2809131</v>
      </c>
      <c r="J161" s="132">
        <f>SUM(J156+J150+J148+J128+J123+J95+J78+J56)</f>
        <v>6766450</v>
      </c>
      <c r="K161" s="132">
        <f t="shared" ref="K161:T161" si="93">SUM(K156+K150+K148+K128+K123+K95+K78+K56)</f>
        <v>4101500</v>
      </c>
      <c r="L161" s="132">
        <f t="shared" si="93"/>
        <v>3872500</v>
      </c>
      <c r="M161" s="132">
        <f t="shared" si="93"/>
        <v>2068896</v>
      </c>
      <c r="N161" s="132">
        <f t="shared" si="93"/>
        <v>100000</v>
      </c>
      <c r="O161" s="132">
        <f t="shared" si="93"/>
        <v>2018387</v>
      </c>
      <c r="P161" s="132">
        <f t="shared" si="93"/>
        <v>2525000</v>
      </c>
      <c r="Q161" s="132">
        <f t="shared" si="93"/>
        <v>775000</v>
      </c>
      <c r="R161" s="132">
        <f t="shared" si="93"/>
        <v>2574000</v>
      </c>
      <c r="S161" s="132">
        <f t="shared" si="93"/>
        <v>1073000</v>
      </c>
      <c r="T161" s="232">
        <f t="shared" si="93"/>
        <v>3345000</v>
      </c>
      <c r="U161" s="39">
        <f t="shared" si="64"/>
        <v>21736864</v>
      </c>
      <c r="V161" s="132">
        <f t="shared" ref="V161:AA161" si="94">V156+V150+V148+V128+V123+V95+V78+V56</f>
        <v>2151576.34</v>
      </c>
      <c r="W161" s="132">
        <f t="shared" si="94"/>
        <v>2151576.34</v>
      </c>
      <c r="X161" s="132">
        <f t="shared" si="94"/>
        <v>0</v>
      </c>
      <c r="Y161" s="132">
        <f t="shared" si="94"/>
        <v>6695550.8300000001</v>
      </c>
      <c r="Z161" s="132">
        <f>Z156+Z150+Z148+Z128+Z123+Z95+Z78+Z56</f>
        <v>4543974.4899999993</v>
      </c>
      <c r="AA161" s="132">
        <f t="shared" si="94"/>
        <v>-15041313.17</v>
      </c>
      <c r="AB161" s="265"/>
      <c r="AC161" s="265"/>
      <c r="AD161" s="265"/>
    </row>
    <row r="162" spans="1:32" ht="15.75" thickBot="1" x14ac:dyDescent="0.3">
      <c r="E162" s="62"/>
      <c r="F162" s="130" t="s">
        <v>246</v>
      </c>
      <c r="G162" s="480">
        <f>G161</f>
        <v>32028864</v>
      </c>
      <c r="H162" s="481"/>
      <c r="I162" s="132">
        <f>I161</f>
        <v>2809131</v>
      </c>
      <c r="J162" s="132">
        <f t="shared" ref="J162:T162" si="95">J161</f>
        <v>6766450</v>
      </c>
      <c r="K162" s="132">
        <f t="shared" si="95"/>
        <v>4101500</v>
      </c>
      <c r="L162" s="132">
        <f t="shared" si="95"/>
        <v>3872500</v>
      </c>
      <c r="M162" s="132">
        <f t="shared" si="95"/>
        <v>2068896</v>
      </c>
      <c r="N162" s="132">
        <f t="shared" si="95"/>
        <v>100000</v>
      </c>
      <c r="O162" s="132">
        <f t="shared" si="95"/>
        <v>2018387</v>
      </c>
      <c r="P162" s="132">
        <f t="shared" si="95"/>
        <v>2525000</v>
      </c>
      <c r="Q162" s="132">
        <f t="shared" si="95"/>
        <v>775000</v>
      </c>
      <c r="R162" s="132">
        <f t="shared" si="95"/>
        <v>2574000</v>
      </c>
      <c r="S162" s="132">
        <f t="shared" si="95"/>
        <v>1073000</v>
      </c>
      <c r="T162" s="232">
        <f t="shared" si="95"/>
        <v>3345000</v>
      </c>
      <c r="U162" s="39">
        <f t="shared" si="64"/>
        <v>21736864</v>
      </c>
      <c r="V162" s="134">
        <f t="shared" ref="V162:AA162" si="96">V161</f>
        <v>2151576.34</v>
      </c>
      <c r="W162" s="134">
        <f t="shared" si="96"/>
        <v>2151576.34</v>
      </c>
      <c r="X162" s="134">
        <f t="shared" si="96"/>
        <v>0</v>
      </c>
      <c r="Y162" s="134">
        <f t="shared" si="96"/>
        <v>6695550.8300000001</v>
      </c>
      <c r="Z162" s="134">
        <f t="shared" si="96"/>
        <v>4543974.4899999993</v>
      </c>
      <c r="AA162" s="134">
        <f t="shared" si="96"/>
        <v>-15041313.17</v>
      </c>
      <c r="AB162" s="266"/>
      <c r="AC162" s="266"/>
      <c r="AD162" s="266"/>
      <c r="AE162" s="103">
        <v>69409.429999999702</v>
      </c>
    </row>
    <row r="163" spans="1:32" ht="15.75" thickBot="1" x14ac:dyDescent="0.3">
      <c r="F163" s="131" t="s">
        <v>337</v>
      </c>
      <c r="G163" s="482">
        <v>1019450</v>
      </c>
      <c r="H163" s="483"/>
      <c r="I163" s="150"/>
      <c r="J163" s="151">
        <v>1019450</v>
      </c>
      <c r="K163" s="150"/>
      <c r="L163" s="150"/>
      <c r="M163" s="152"/>
      <c r="N163" s="152"/>
      <c r="O163" s="152"/>
      <c r="P163" s="152"/>
      <c r="Q163" s="152"/>
      <c r="R163" s="152"/>
      <c r="S163" s="152"/>
      <c r="T163" s="233"/>
      <c r="U163" s="39">
        <f t="shared" si="64"/>
        <v>1019450</v>
      </c>
    </row>
    <row r="164" spans="1:32" ht="33.75" customHeight="1" thickTop="1" thickBot="1" x14ac:dyDescent="0.3">
      <c r="A164" s="3" t="s">
        <v>0</v>
      </c>
      <c r="B164" s="3" t="s">
        <v>1</v>
      </c>
      <c r="C164" s="3"/>
      <c r="D164" s="4" t="s">
        <v>3</v>
      </c>
      <c r="E164" s="83">
        <v>3116090</v>
      </c>
      <c r="F164" s="5" t="s">
        <v>153</v>
      </c>
      <c r="G164" s="6" t="s">
        <v>6</v>
      </c>
      <c r="H164" s="7" t="s">
        <v>155</v>
      </c>
      <c r="I164" s="8" t="s">
        <v>7</v>
      </c>
      <c r="J164" s="9" t="s">
        <v>8</v>
      </c>
      <c r="K164" s="9" t="s">
        <v>9</v>
      </c>
      <c r="L164" s="8" t="s">
        <v>10</v>
      </c>
      <c r="M164" s="8" t="s">
        <v>11</v>
      </c>
      <c r="N164" s="10" t="s">
        <v>12</v>
      </c>
      <c r="O164" s="11" t="s">
        <v>13</v>
      </c>
      <c r="P164" s="12" t="s">
        <v>14</v>
      </c>
      <c r="Q164" s="12" t="s">
        <v>15</v>
      </c>
      <c r="R164" s="12" t="s">
        <v>16</v>
      </c>
      <c r="S164" s="12" t="s">
        <v>17</v>
      </c>
      <c r="T164" s="221" t="s">
        <v>18</v>
      </c>
      <c r="U164" s="7" t="s">
        <v>426</v>
      </c>
      <c r="V164" s="7" t="s">
        <v>19</v>
      </c>
      <c r="W164" s="7" t="s">
        <v>20</v>
      </c>
      <c r="X164" s="7" t="s">
        <v>21</v>
      </c>
      <c r="Y164" s="5" t="s">
        <v>22</v>
      </c>
      <c r="Z164" s="14" t="s">
        <v>23</v>
      </c>
      <c r="AA164" s="14" t="s">
        <v>24</v>
      </c>
      <c r="AB164" s="255"/>
      <c r="AC164" s="255"/>
      <c r="AD164" s="255"/>
      <c r="AE164" s="69"/>
      <c r="AF164" s="43"/>
    </row>
    <row r="165" spans="1:32" ht="16.5" thickTop="1" thickBot="1" x14ac:dyDescent="0.3">
      <c r="A165" s="1"/>
      <c r="B165" s="1"/>
      <c r="C165" s="1"/>
      <c r="D165" s="2"/>
      <c r="E165" s="65"/>
      <c r="F165" s="66" t="s">
        <v>154</v>
      </c>
      <c r="G165" s="67">
        <v>2240</v>
      </c>
      <c r="H165" s="68">
        <f>SUM(H166:H169)</f>
        <v>300000</v>
      </c>
      <c r="I165" s="68">
        <f t="shared" ref="I165:AA165" si="97">SUM(I166:I169)</f>
        <v>0</v>
      </c>
      <c r="J165" s="68">
        <f t="shared" si="97"/>
        <v>45820</v>
      </c>
      <c r="K165" s="68">
        <f t="shared" si="97"/>
        <v>45820</v>
      </c>
      <c r="L165" s="68">
        <f t="shared" si="97"/>
        <v>11820</v>
      </c>
      <c r="M165" s="68">
        <f t="shared" si="97"/>
        <v>0</v>
      </c>
      <c r="N165" s="68">
        <f t="shared" si="97"/>
        <v>0</v>
      </c>
      <c r="O165" s="68">
        <f t="shared" si="97"/>
        <v>0</v>
      </c>
      <c r="P165" s="68">
        <f t="shared" si="97"/>
        <v>15280</v>
      </c>
      <c r="Q165" s="68">
        <f t="shared" si="97"/>
        <v>45820</v>
      </c>
      <c r="R165" s="68">
        <f t="shared" si="97"/>
        <v>44820</v>
      </c>
      <c r="S165" s="68">
        <f t="shared" si="97"/>
        <v>45820</v>
      </c>
      <c r="T165" s="234">
        <f t="shared" si="97"/>
        <v>44800</v>
      </c>
      <c r="U165" s="39">
        <f t="shared" si="64"/>
        <v>103460</v>
      </c>
      <c r="V165" s="68">
        <f t="shared" si="97"/>
        <v>0</v>
      </c>
      <c r="W165" s="68">
        <f t="shared" si="97"/>
        <v>0</v>
      </c>
      <c r="X165" s="68">
        <f t="shared" si="97"/>
        <v>0</v>
      </c>
      <c r="Y165" s="68">
        <f t="shared" si="97"/>
        <v>0</v>
      </c>
      <c r="Z165" s="68">
        <f t="shared" si="97"/>
        <v>0</v>
      </c>
      <c r="AA165" s="68">
        <f t="shared" si="97"/>
        <v>-103460</v>
      </c>
      <c r="AB165" s="267"/>
      <c r="AC165" s="267"/>
      <c r="AD165" s="267"/>
      <c r="AE165" s="43"/>
      <c r="AF165" s="43"/>
    </row>
    <row r="166" spans="1:32" ht="68.25" thickBot="1" x14ac:dyDescent="0.3">
      <c r="E166" s="72" t="s">
        <v>160</v>
      </c>
      <c r="F166" s="70" t="s">
        <v>156</v>
      </c>
      <c r="G166" s="75">
        <v>2240</v>
      </c>
      <c r="H166" s="68">
        <f>SUM(I166:T166)</f>
        <v>100000</v>
      </c>
      <c r="I166" s="76"/>
      <c r="J166" s="76">
        <v>20000</v>
      </c>
      <c r="K166" s="76">
        <v>40000</v>
      </c>
      <c r="L166" s="76">
        <v>6000</v>
      </c>
      <c r="M166" s="76"/>
      <c r="N166" s="76"/>
      <c r="O166" s="76"/>
      <c r="P166" s="76"/>
      <c r="Q166" s="76"/>
      <c r="R166" s="76"/>
      <c r="S166" s="76">
        <v>34000</v>
      </c>
      <c r="T166" s="235"/>
      <c r="U166" s="39">
        <f t="shared" si="64"/>
        <v>66000</v>
      </c>
      <c r="V166" s="64"/>
      <c r="W166" s="64"/>
      <c r="X166" s="41">
        <f t="shared" ref="X166:X170" si="98">W166-V166</f>
        <v>0</v>
      </c>
      <c r="Y166" s="64"/>
      <c r="Z166" s="41">
        <f t="shared" ref="Z166:Z170" si="99">Y166-V166</f>
        <v>0</v>
      </c>
      <c r="AA166" s="42">
        <f t="shared" ref="AA166:AA170" si="100">Y166-U166</f>
        <v>-66000</v>
      </c>
      <c r="AB166" s="258"/>
      <c r="AC166" s="258"/>
      <c r="AD166" s="258"/>
    </row>
    <row r="167" spans="1:32" ht="45.75" thickBot="1" x14ac:dyDescent="0.3">
      <c r="E167" s="72" t="s">
        <v>161</v>
      </c>
      <c r="F167" s="71" t="s">
        <v>157</v>
      </c>
      <c r="G167" s="75">
        <v>2240</v>
      </c>
      <c r="H167" s="68">
        <f t="shared" ref="H167:H170" si="101">SUM(I167:T167)</f>
        <v>102000</v>
      </c>
      <c r="I167" s="76"/>
      <c r="J167" s="76">
        <v>25820</v>
      </c>
      <c r="K167" s="76">
        <v>5820</v>
      </c>
      <c r="L167" s="76">
        <v>5820</v>
      </c>
      <c r="M167" s="76"/>
      <c r="N167" s="76"/>
      <c r="O167" s="76"/>
      <c r="P167" s="76">
        <v>15280</v>
      </c>
      <c r="Q167" s="76">
        <v>45820</v>
      </c>
      <c r="R167" s="76">
        <v>3440</v>
      </c>
      <c r="S167" s="76"/>
      <c r="T167" s="235"/>
      <c r="U167" s="39">
        <f t="shared" si="64"/>
        <v>37460</v>
      </c>
      <c r="V167" s="64"/>
      <c r="W167" s="64"/>
      <c r="X167" s="41">
        <f t="shared" si="98"/>
        <v>0</v>
      </c>
      <c r="Y167" s="64"/>
      <c r="Z167" s="41">
        <f t="shared" si="99"/>
        <v>0</v>
      </c>
      <c r="AA167" s="42">
        <f t="shared" si="100"/>
        <v>-37460</v>
      </c>
      <c r="AB167" s="258"/>
      <c r="AC167" s="258"/>
      <c r="AD167" s="258"/>
    </row>
    <row r="168" spans="1:32" ht="34.5" thickBot="1" x14ac:dyDescent="0.3">
      <c r="E168" s="72" t="s">
        <v>162</v>
      </c>
      <c r="F168" s="71" t="s">
        <v>158</v>
      </c>
      <c r="G168" s="75">
        <v>2240</v>
      </c>
      <c r="H168" s="68">
        <f t="shared" si="101"/>
        <v>49000</v>
      </c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>
        <v>4200</v>
      </c>
      <c r="T168" s="235">
        <v>44800</v>
      </c>
      <c r="U168" s="39">
        <f t="shared" si="64"/>
        <v>0</v>
      </c>
      <c r="V168" s="64"/>
      <c r="W168" s="64"/>
      <c r="X168" s="41">
        <f t="shared" si="98"/>
        <v>0</v>
      </c>
      <c r="Y168" s="64"/>
      <c r="Z168" s="41">
        <f t="shared" si="99"/>
        <v>0</v>
      </c>
      <c r="AA168" s="42">
        <f t="shared" si="100"/>
        <v>0</v>
      </c>
      <c r="AB168" s="258"/>
      <c r="AC168" s="258"/>
      <c r="AD168" s="258"/>
    </row>
    <row r="169" spans="1:32" ht="45.75" thickBot="1" x14ac:dyDescent="0.3">
      <c r="E169" s="72" t="s">
        <v>163</v>
      </c>
      <c r="F169" s="71" t="s">
        <v>159</v>
      </c>
      <c r="G169" s="75">
        <v>2240</v>
      </c>
      <c r="H169" s="68">
        <f t="shared" si="101"/>
        <v>49000</v>
      </c>
      <c r="I169" s="76"/>
      <c r="J169" s="76"/>
      <c r="K169" s="76"/>
      <c r="L169" s="76"/>
      <c r="M169" s="76"/>
      <c r="N169" s="76"/>
      <c r="O169" s="76"/>
      <c r="P169" s="76"/>
      <c r="Q169" s="76"/>
      <c r="R169" s="76">
        <v>41380</v>
      </c>
      <c r="S169" s="76">
        <v>7620</v>
      </c>
      <c r="T169" s="235"/>
      <c r="U169" s="39">
        <f t="shared" si="64"/>
        <v>0</v>
      </c>
      <c r="V169" s="64"/>
      <c r="W169" s="64"/>
      <c r="X169" s="41">
        <f t="shared" si="98"/>
        <v>0</v>
      </c>
      <c r="Y169" s="64"/>
      <c r="Z169" s="41">
        <f t="shared" si="99"/>
        <v>0</v>
      </c>
      <c r="AA169" s="42">
        <f t="shared" si="100"/>
        <v>0</v>
      </c>
      <c r="AB169" s="258"/>
      <c r="AC169" s="258"/>
      <c r="AD169" s="258"/>
    </row>
    <row r="170" spans="1:32" ht="45.75" thickBot="1" x14ac:dyDescent="0.3">
      <c r="A170" t="s">
        <v>415</v>
      </c>
      <c r="B170" s="102">
        <v>44728</v>
      </c>
      <c r="C170">
        <v>200000</v>
      </c>
      <c r="D170" t="s">
        <v>412</v>
      </c>
      <c r="E170" s="73" t="s">
        <v>165</v>
      </c>
      <c r="F170" s="74" t="s">
        <v>164</v>
      </c>
      <c r="G170" s="75">
        <v>2240</v>
      </c>
      <c r="H170" s="68">
        <f t="shared" si="101"/>
        <v>200000</v>
      </c>
      <c r="I170" s="76"/>
      <c r="J170" s="76"/>
      <c r="K170" s="76"/>
      <c r="L170" s="76">
        <v>34000</v>
      </c>
      <c r="M170" s="76">
        <v>44820</v>
      </c>
      <c r="N170" s="76">
        <v>44820</v>
      </c>
      <c r="O170" s="76">
        <v>45820</v>
      </c>
      <c r="P170" s="76">
        <v>30540</v>
      </c>
      <c r="Q170" s="76"/>
      <c r="R170" s="76"/>
      <c r="S170" s="76"/>
      <c r="T170" s="235"/>
      <c r="U170" s="39">
        <f t="shared" si="64"/>
        <v>169460</v>
      </c>
      <c r="V170" s="77"/>
      <c r="W170" s="77"/>
      <c r="X170" s="78">
        <f t="shared" si="98"/>
        <v>0</v>
      </c>
      <c r="Y170" s="77">
        <f>66322.77</f>
        <v>66322.77</v>
      </c>
      <c r="Z170" s="78">
        <f t="shared" si="99"/>
        <v>66322.77</v>
      </c>
      <c r="AA170" s="42">
        <f t="shared" si="100"/>
        <v>-103137.23</v>
      </c>
      <c r="AB170" s="258"/>
      <c r="AC170" s="258"/>
      <c r="AD170" s="258"/>
    </row>
    <row r="171" spans="1:32" ht="15.75" thickBot="1" x14ac:dyDescent="0.3">
      <c r="A171" s="1"/>
      <c r="B171" s="1"/>
      <c r="C171" s="1"/>
      <c r="D171" s="2"/>
      <c r="E171" s="81"/>
      <c r="F171" s="82" t="s">
        <v>167</v>
      </c>
      <c r="G171" s="75"/>
      <c r="H171" s="68">
        <f>SUM(H166:H170)</f>
        <v>500000</v>
      </c>
      <c r="I171" s="68">
        <f t="shared" ref="I171:AA171" si="102">SUM(I166:I170)</f>
        <v>0</v>
      </c>
      <c r="J171" s="68">
        <f t="shared" si="102"/>
        <v>45820</v>
      </c>
      <c r="K171" s="68">
        <f t="shared" si="102"/>
        <v>45820</v>
      </c>
      <c r="L171" s="68">
        <f t="shared" si="102"/>
        <v>45820</v>
      </c>
      <c r="M171" s="68">
        <f t="shared" si="102"/>
        <v>44820</v>
      </c>
      <c r="N171" s="68">
        <f t="shared" si="102"/>
        <v>44820</v>
      </c>
      <c r="O171" s="68">
        <f t="shared" si="102"/>
        <v>45820</v>
      </c>
      <c r="P171" s="68">
        <f t="shared" si="102"/>
        <v>45820</v>
      </c>
      <c r="Q171" s="68">
        <f t="shared" si="102"/>
        <v>45820</v>
      </c>
      <c r="R171" s="68">
        <f t="shared" si="102"/>
        <v>44820</v>
      </c>
      <c r="S171" s="68">
        <f t="shared" si="102"/>
        <v>45820</v>
      </c>
      <c r="T171" s="234">
        <f t="shared" si="102"/>
        <v>44800</v>
      </c>
      <c r="U171" s="68">
        <f t="shared" si="102"/>
        <v>272920</v>
      </c>
      <c r="V171" s="68">
        <f t="shared" si="102"/>
        <v>0</v>
      </c>
      <c r="W171" s="68">
        <f t="shared" si="102"/>
        <v>0</v>
      </c>
      <c r="X171" s="68">
        <f t="shared" si="102"/>
        <v>0</v>
      </c>
      <c r="Y171" s="68">
        <f t="shared" si="102"/>
        <v>66322.77</v>
      </c>
      <c r="Z171" s="68">
        <f t="shared" si="102"/>
        <v>66322.77</v>
      </c>
      <c r="AA171" s="68">
        <f t="shared" si="102"/>
        <v>-206597.22999999998</v>
      </c>
      <c r="AB171" s="267"/>
      <c r="AC171" s="267"/>
      <c r="AD171" s="267"/>
      <c r="AE171" s="43"/>
      <c r="AF171" s="43"/>
    </row>
    <row r="172" spans="1:32" ht="15.75" thickBot="1" x14ac:dyDescent="0.3">
      <c r="E172" s="73"/>
      <c r="F172" s="79" t="s">
        <v>166</v>
      </c>
      <c r="H172" s="80">
        <f>H170+H165</f>
        <v>500000</v>
      </c>
      <c r="I172" s="80">
        <f t="shared" ref="I172:AA172" si="103">I170+I165</f>
        <v>0</v>
      </c>
      <c r="J172" s="80">
        <f t="shared" si="103"/>
        <v>45820</v>
      </c>
      <c r="K172" s="80">
        <f t="shared" si="103"/>
        <v>45820</v>
      </c>
      <c r="L172" s="80">
        <f t="shared" si="103"/>
        <v>45820</v>
      </c>
      <c r="M172" s="80">
        <f t="shared" si="103"/>
        <v>44820</v>
      </c>
      <c r="N172" s="80">
        <f t="shared" si="103"/>
        <v>44820</v>
      </c>
      <c r="O172" s="80">
        <f t="shared" si="103"/>
        <v>45820</v>
      </c>
      <c r="P172" s="80">
        <f t="shared" si="103"/>
        <v>45820</v>
      </c>
      <c r="Q172" s="80">
        <f t="shared" si="103"/>
        <v>45820</v>
      </c>
      <c r="R172" s="80">
        <f t="shared" si="103"/>
        <v>44820</v>
      </c>
      <c r="S172" s="80">
        <f t="shared" si="103"/>
        <v>45820</v>
      </c>
      <c r="T172" s="236">
        <f t="shared" si="103"/>
        <v>44800</v>
      </c>
      <c r="U172" s="80">
        <f t="shared" si="103"/>
        <v>272920</v>
      </c>
      <c r="V172" s="80">
        <f t="shared" si="103"/>
        <v>0</v>
      </c>
      <c r="W172" s="80">
        <f t="shared" si="103"/>
        <v>0</v>
      </c>
      <c r="X172" s="80">
        <f t="shared" si="103"/>
        <v>0</v>
      </c>
      <c r="Y172" s="80">
        <f t="shared" si="103"/>
        <v>66322.77</v>
      </c>
      <c r="Z172" s="80">
        <f t="shared" si="103"/>
        <v>66322.77</v>
      </c>
      <c r="AA172" s="80">
        <f t="shared" si="103"/>
        <v>-206597.22999999998</v>
      </c>
      <c r="AB172" s="268"/>
      <c r="AC172" s="268"/>
      <c r="AD172" s="268"/>
    </row>
    <row r="173" spans="1:32" ht="35.25" thickTop="1" thickBot="1" x14ac:dyDescent="0.3">
      <c r="A173" s="3" t="s">
        <v>0</v>
      </c>
      <c r="B173" s="3" t="s">
        <v>1</v>
      </c>
      <c r="C173" s="3"/>
      <c r="D173" s="4" t="s">
        <v>3</v>
      </c>
      <c r="E173" s="83">
        <v>3117310</v>
      </c>
      <c r="F173" s="445" t="s">
        <v>404</v>
      </c>
      <c r="G173" s="446"/>
      <c r="H173" s="7" t="s">
        <v>155</v>
      </c>
      <c r="I173" s="8" t="s">
        <v>7</v>
      </c>
      <c r="J173" s="9" t="s">
        <v>8</v>
      </c>
      <c r="K173" s="9" t="s">
        <v>9</v>
      </c>
      <c r="L173" s="8" t="s">
        <v>10</v>
      </c>
      <c r="M173" s="8" t="s">
        <v>11</v>
      </c>
      <c r="N173" s="10" t="s">
        <v>12</v>
      </c>
      <c r="O173" s="11" t="s">
        <v>13</v>
      </c>
      <c r="P173" s="12" t="s">
        <v>14</v>
      </c>
      <c r="Q173" s="12" t="s">
        <v>15</v>
      </c>
      <c r="R173" s="13" t="s">
        <v>16</v>
      </c>
      <c r="S173" s="8" t="s">
        <v>17</v>
      </c>
      <c r="T173" s="221" t="s">
        <v>18</v>
      </c>
      <c r="U173" s="7" t="s">
        <v>426</v>
      </c>
      <c r="V173" s="7" t="s">
        <v>19</v>
      </c>
      <c r="W173" s="7" t="s">
        <v>20</v>
      </c>
      <c r="X173" s="7" t="s">
        <v>21</v>
      </c>
      <c r="Y173" s="5" t="s">
        <v>22</v>
      </c>
      <c r="Z173" s="14" t="s">
        <v>23</v>
      </c>
      <c r="AA173" s="14" t="s">
        <v>24</v>
      </c>
      <c r="AB173" s="255"/>
      <c r="AC173" s="255"/>
      <c r="AD173" s="255"/>
    </row>
    <row r="174" spans="1:32" ht="73.5" thickTop="1" thickBot="1" x14ac:dyDescent="0.3">
      <c r="E174" s="85">
        <v>1</v>
      </c>
      <c r="F174" s="212" t="s">
        <v>400</v>
      </c>
      <c r="G174" s="85">
        <v>3122</v>
      </c>
      <c r="H174" s="136">
        <f>SUM(I174:T174)</f>
        <v>50000</v>
      </c>
      <c r="I174" s="88"/>
      <c r="J174" s="88"/>
      <c r="K174" s="87"/>
      <c r="L174" s="87">
        <v>50000</v>
      </c>
      <c r="M174" s="88"/>
      <c r="N174" s="87"/>
      <c r="O174" s="87"/>
      <c r="P174" s="87"/>
      <c r="Q174" s="88"/>
      <c r="R174" s="87"/>
      <c r="S174" s="87"/>
      <c r="T174" s="229"/>
      <c r="U174" s="39">
        <f>I174+J174+K174+L174+M174+N174+O174</f>
        <v>50000</v>
      </c>
      <c r="V174" s="77"/>
      <c r="W174" s="77"/>
      <c r="X174" s="78">
        <f t="shared" ref="X174:X175" si="104">W174-V174</f>
        <v>0</v>
      </c>
      <c r="Y174" s="77"/>
      <c r="Z174" s="78">
        <f t="shared" ref="Z174:Z175" si="105">Y174-V174</f>
        <v>0</v>
      </c>
      <c r="AA174" s="42">
        <f t="shared" ref="AA174:AA175" si="106">Y174-U174</f>
        <v>-50000</v>
      </c>
      <c r="AB174" s="258"/>
      <c r="AC174" s="258"/>
      <c r="AD174" s="258"/>
    </row>
    <row r="175" spans="1:32" ht="84.75" thickBot="1" x14ac:dyDescent="0.3">
      <c r="E175" s="85">
        <f>E174+1</f>
        <v>2</v>
      </c>
      <c r="F175" s="212" t="s">
        <v>401</v>
      </c>
      <c r="G175" s="85">
        <v>3122</v>
      </c>
      <c r="H175" s="136">
        <f>SUM(I175:T175)</f>
        <v>50000</v>
      </c>
      <c r="I175" s="87"/>
      <c r="J175" s="88"/>
      <c r="K175" s="88"/>
      <c r="L175" s="88">
        <v>50000</v>
      </c>
      <c r="M175" s="88"/>
      <c r="N175" s="88"/>
      <c r="O175" s="88"/>
      <c r="P175" s="88"/>
      <c r="Q175" s="87"/>
      <c r="R175" s="87"/>
      <c r="S175" s="87"/>
      <c r="T175" s="229"/>
      <c r="U175" s="39">
        <f>I175+J175+K175+L175+M175+N175+O175</f>
        <v>50000</v>
      </c>
      <c r="V175" s="77"/>
      <c r="W175" s="77"/>
      <c r="X175" s="78">
        <f t="shared" si="104"/>
        <v>0</v>
      </c>
      <c r="Y175" s="77"/>
      <c r="Z175" s="78">
        <f t="shared" si="105"/>
        <v>0</v>
      </c>
      <c r="AA175" s="42">
        <f t="shared" si="106"/>
        <v>-50000</v>
      </c>
      <c r="AB175" s="258"/>
      <c r="AC175" s="258"/>
      <c r="AD175" s="258"/>
    </row>
    <row r="176" spans="1:32" ht="15.75" thickBot="1" x14ac:dyDescent="0.3">
      <c r="A176" s="1"/>
      <c r="B176" s="1"/>
      <c r="C176" s="1"/>
      <c r="D176" s="2"/>
      <c r="E176" s="81"/>
      <c r="F176" s="82" t="s">
        <v>177</v>
      </c>
      <c r="G176" s="75"/>
      <c r="H176" s="68">
        <f>H175+H174</f>
        <v>100000</v>
      </c>
      <c r="I176" s="68">
        <f t="shared" ref="I176:AA176" si="107">I175+I174</f>
        <v>0</v>
      </c>
      <c r="J176" s="68">
        <f t="shared" si="107"/>
        <v>0</v>
      </c>
      <c r="K176" s="68">
        <f t="shared" si="107"/>
        <v>0</v>
      </c>
      <c r="L176" s="68">
        <f t="shared" si="107"/>
        <v>100000</v>
      </c>
      <c r="M176" s="68">
        <f t="shared" si="107"/>
        <v>0</v>
      </c>
      <c r="N176" s="68">
        <f t="shared" si="107"/>
        <v>0</v>
      </c>
      <c r="O176" s="68">
        <f t="shared" si="107"/>
        <v>0</v>
      </c>
      <c r="P176" s="68">
        <f t="shared" si="107"/>
        <v>0</v>
      </c>
      <c r="Q176" s="68">
        <f t="shared" si="107"/>
        <v>0</v>
      </c>
      <c r="R176" s="68">
        <f t="shared" si="107"/>
        <v>0</v>
      </c>
      <c r="S176" s="68">
        <f t="shared" si="107"/>
        <v>0</v>
      </c>
      <c r="T176" s="234">
        <f t="shared" si="107"/>
        <v>0</v>
      </c>
      <c r="U176" s="68">
        <f t="shared" si="107"/>
        <v>100000</v>
      </c>
      <c r="V176" s="68">
        <f t="shared" si="107"/>
        <v>0</v>
      </c>
      <c r="W176" s="68">
        <f t="shared" si="107"/>
        <v>0</v>
      </c>
      <c r="X176" s="68">
        <f t="shared" si="107"/>
        <v>0</v>
      </c>
      <c r="Y176" s="68">
        <f t="shared" si="107"/>
        <v>0</v>
      </c>
      <c r="Z176" s="68">
        <f t="shared" si="107"/>
        <v>0</v>
      </c>
      <c r="AA176" s="68">
        <f t="shared" si="107"/>
        <v>-100000</v>
      </c>
      <c r="AB176" s="267"/>
      <c r="AC176" s="267"/>
      <c r="AD176" s="267"/>
      <c r="AE176" s="43"/>
      <c r="AF176" s="43"/>
    </row>
    <row r="177" spans="1:30" ht="15.75" thickBot="1" x14ac:dyDescent="0.3">
      <c r="E177" s="73"/>
      <c r="F177" s="79" t="s">
        <v>402</v>
      </c>
      <c r="H177" s="80">
        <f>H176</f>
        <v>100000</v>
      </c>
      <c r="I177" s="80">
        <f t="shared" ref="I177:AA177" si="108">I176</f>
        <v>0</v>
      </c>
      <c r="J177" s="80">
        <f t="shared" si="108"/>
        <v>0</v>
      </c>
      <c r="K177" s="80">
        <f t="shared" si="108"/>
        <v>0</v>
      </c>
      <c r="L177" s="80">
        <f t="shared" si="108"/>
        <v>100000</v>
      </c>
      <c r="M177" s="80">
        <f t="shared" si="108"/>
        <v>0</v>
      </c>
      <c r="N177" s="80">
        <f t="shared" si="108"/>
        <v>0</v>
      </c>
      <c r="O177" s="80">
        <f t="shared" si="108"/>
        <v>0</v>
      </c>
      <c r="P177" s="80">
        <f t="shared" si="108"/>
        <v>0</v>
      </c>
      <c r="Q177" s="80">
        <f t="shared" si="108"/>
        <v>0</v>
      </c>
      <c r="R177" s="80">
        <f t="shared" si="108"/>
        <v>0</v>
      </c>
      <c r="S177" s="80">
        <f t="shared" si="108"/>
        <v>0</v>
      </c>
      <c r="T177" s="236">
        <f t="shared" si="108"/>
        <v>0</v>
      </c>
      <c r="U177" s="80">
        <f t="shared" si="108"/>
        <v>100000</v>
      </c>
      <c r="V177" s="80">
        <f t="shared" si="108"/>
        <v>0</v>
      </c>
      <c r="W177" s="80">
        <f t="shared" si="108"/>
        <v>0</v>
      </c>
      <c r="X177" s="80">
        <f t="shared" si="108"/>
        <v>0</v>
      </c>
      <c r="Y177" s="80">
        <f t="shared" si="108"/>
        <v>0</v>
      </c>
      <c r="Z177" s="80">
        <f t="shared" si="108"/>
        <v>0</v>
      </c>
      <c r="AA177" s="80">
        <f t="shared" si="108"/>
        <v>-100000</v>
      </c>
      <c r="AB177" s="268"/>
      <c r="AC177" s="268"/>
      <c r="AD177" s="268"/>
    </row>
    <row r="178" spans="1:30" ht="35.25" thickTop="1" thickBot="1" x14ac:dyDescent="0.3">
      <c r="A178" s="3" t="s">
        <v>0</v>
      </c>
      <c r="B178" s="3" t="s">
        <v>1</v>
      </c>
      <c r="C178" s="3"/>
      <c r="D178" s="4" t="s">
        <v>3</v>
      </c>
      <c r="E178" s="83">
        <v>3117321</v>
      </c>
      <c r="F178" s="445" t="s">
        <v>296</v>
      </c>
      <c r="G178" s="446"/>
      <c r="H178" s="7" t="s">
        <v>155</v>
      </c>
      <c r="I178" s="8" t="s">
        <v>7</v>
      </c>
      <c r="J178" s="9" t="s">
        <v>8</v>
      </c>
      <c r="K178" s="9" t="s">
        <v>9</v>
      </c>
      <c r="L178" s="8" t="s">
        <v>10</v>
      </c>
      <c r="M178" s="8" t="s">
        <v>11</v>
      </c>
      <c r="N178" s="10" t="s">
        <v>12</v>
      </c>
      <c r="O178" s="11" t="s">
        <v>13</v>
      </c>
      <c r="P178" s="12" t="s">
        <v>14</v>
      </c>
      <c r="Q178" s="12" t="s">
        <v>15</v>
      </c>
      <c r="R178" s="13" t="s">
        <v>16</v>
      </c>
      <c r="S178" s="8" t="s">
        <v>17</v>
      </c>
      <c r="T178" s="221" t="s">
        <v>18</v>
      </c>
      <c r="U178" s="7" t="s">
        <v>380</v>
      </c>
      <c r="V178" s="7" t="s">
        <v>19</v>
      </c>
      <c r="W178" s="7" t="s">
        <v>20</v>
      </c>
      <c r="X178" s="7" t="s">
        <v>21</v>
      </c>
      <c r="Y178" s="5" t="s">
        <v>22</v>
      </c>
      <c r="Z178" s="14" t="s">
        <v>23</v>
      </c>
      <c r="AA178" s="14" t="s">
        <v>24</v>
      </c>
      <c r="AB178" s="255"/>
      <c r="AC178" s="255"/>
      <c r="AD178" s="255"/>
    </row>
    <row r="179" spans="1:30" ht="69" thickTop="1" thickBot="1" x14ac:dyDescent="0.3">
      <c r="E179" s="85">
        <v>1</v>
      </c>
      <c r="F179" s="71" t="s">
        <v>297</v>
      </c>
      <c r="G179" s="85">
        <v>3122</v>
      </c>
      <c r="H179" s="136">
        <v>400000</v>
      </c>
      <c r="I179" s="214">
        <v>50000</v>
      </c>
      <c r="J179" s="214">
        <v>50000</v>
      </c>
      <c r="K179" s="214"/>
      <c r="L179" s="214"/>
      <c r="M179" s="214">
        <v>75000</v>
      </c>
      <c r="N179" s="214"/>
      <c r="O179" s="214"/>
      <c r="P179" s="214"/>
      <c r="Q179" s="214">
        <v>225000</v>
      </c>
      <c r="R179" s="214"/>
      <c r="S179" s="214"/>
      <c r="T179" s="227"/>
      <c r="U179" s="39">
        <f>I179+J179+K179+L179+M179+N179+O179</f>
        <v>175000</v>
      </c>
      <c r="V179" s="77"/>
      <c r="W179" s="77"/>
      <c r="X179" s="78">
        <f t="shared" ref="X179:X185" si="109">W179-V179</f>
        <v>0</v>
      </c>
      <c r="Y179" s="77"/>
      <c r="Z179" s="78">
        <f t="shared" ref="Z179:Z185" si="110">Y179-V179</f>
        <v>0</v>
      </c>
      <c r="AA179" s="42">
        <f t="shared" ref="AA179:AA185" si="111">Y179-U179</f>
        <v>-175000</v>
      </c>
      <c r="AB179" s="258"/>
      <c r="AC179" s="258"/>
      <c r="AD179" s="258"/>
    </row>
    <row r="180" spans="1:30" ht="57" thickBot="1" x14ac:dyDescent="0.3">
      <c r="E180" s="85">
        <f>E179+1</f>
        <v>2</v>
      </c>
      <c r="F180" s="71" t="s">
        <v>298</v>
      </c>
      <c r="G180" s="85">
        <v>3122</v>
      </c>
      <c r="H180" s="136">
        <v>1500000</v>
      </c>
      <c r="I180" s="214"/>
      <c r="J180" s="214">
        <v>50000</v>
      </c>
      <c r="K180" s="214">
        <v>50000</v>
      </c>
      <c r="L180" s="214"/>
      <c r="M180" s="214"/>
      <c r="N180" s="214"/>
      <c r="O180" s="214"/>
      <c r="P180" s="214"/>
      <c r="Q180" s="214"/>
      <c r="R180" s="214"/>
      <c r="S180" s="214"/>
      <c r="T180" s="227"/>
      <c r="U180" s="39">
        <f t="shared" ref="U180:U185" si="112">I180+J180+K180+L180+M180+N180+O180</f>
        <v>100000</v>
      </c>
      <c r="V180" s="77"/>
      <c r="W180" s="77"/>
      <c r="X180" s="78">
        <f t="shared" si="109"/>
        <v>0</v>
      </c>
      <c r="Y180" s="77"/>
      <c r="Z180" s="78">
        <f t="shared" si="110"/>
        <v>0</v>
      </c>
      <c r="AA180" s="42">
        <f t="shared" si="111"/>
        <v>-100000</v>
      </c>
      <c r="AB180" s="258"/>
      <c r="AC180" s="258"/>
      <c r="AD180" s="258"/>
    </row>
    <row r="181" spans="1:30" ht="57" thickBot="1" x14ac:dyDescent="0.3">
      <c r="E181" s="85">
        <f t="shared" ref="E181:E185" si="113">E180+1</f>
        <v>3</v>
      </c>
      <c r="F181" s="71" t="s">
        <v>299</v>
      </c>
      <c r="G181" s="85">
        <v>3142</v>
      </c>
      <c r="H181" s="136">
        <v>1498000</v>
      </c>
      <c r="I181" s="214">
        <v>50000</v>
      </c>
      <c r="J181" s="214">
        <v>50000</v>
      </c>
      <c r="K181" s="214"/>
      <c r="L181" s="214"/>
      <c r="M181" s="214">
        <v>200000</v>
      </c>
      <c r="N181" s="214">
        <f>1000000-729500</f>
        <v>270500</v>
      </c>
      <c r="O181" s="214">
        <v>71000</v>
      </c>
      <c r="P181" s="214"/>
      <c r="Q181" s="214"/>
      <c r="R181" s="214">
        <v>127000</v>
      </c>
      <c r="S181" s="214"/>
      <c r="T181" s="227"/>
      <c r="U181" s="39">
        <f t="shared" si="112"/>
        <v>641500</v>
      </c>
      <c r="V181" s="77"/>
      <c r="W181" s="77"/>
      <c r="X181" s="78">
        <f t="shared" si="109"/>
        <v>0</v>
      </c>
      <c r="Y181" s="77"/>
      <c r="Z181" s="78">
        <f t="shared" si="110"/>
        <v>0</v>
      </c>
      <c r="AA181" s="42">
        <f t="shared" si="111"/>
        <v>-641500</v>
      </c>
      <c r="AB181" s="258"/>
      <c r="AC181" s="258"/>
      <c r="AD181" s="258"/>
    </row>
    <row r="182" spans="1:30" ht="68.25" thickBot="1" x14ac:dyDescent="0.3">
      <c r="E182" s="85">
        <f t="shared" si="113"/>
        <v>4</v>
      </c>
      <c r="F182" s="71" t="s">
        <v>300</v>
      </c>
      <c r="G182" s="85">
        <v>3142</v>
      </c>
      <c r="H182" s="136">
        <v>500000</v>
      </c>
      <c r="I182" s="214"/>
      <c r="J182" s="214"/>
      <c r="K182" s="214">
        <v>26000</v>
      </c>
      <c r="L182" s="214"/>
      <c r="M182" s="214">
        <v>200000</v>
      </c>
      <c r="N182" s="214"/>
      <c r="O182" s="214">
        <v>74000</v>
      </c>
      <c r="P182" s="214">
        <v>200000</v>
      </c>
      <c r="Q182" s="214"/>
      <c r="R182" s="214"/>
      <c r="S182" s="214"/>
      <c r="T182" s="227"/>
      <c r="U182" s="39">
        <f t="shared" si="112"/>
        <v>300000</v>
      </c>
      <c r="V182" s="77"/>
      <c r="W182" s="77"/>
      <c r="X182" s="78">
        <f t="shared" si="109"/>
        <v>0</v>
      </c>
      <c r="Y182" s="77"/>
      <c r="Z182" s="78">
        <f t="shared" si="110"/>
        <v>0</v>
      </c>
      <c r="AA182" s="42">
        <f t="shared" si="111"/>
        <v>-300000</v>
      </c>
      <c r="AB182" s="258"/>
      <c r="AC182" s="258"/>
      <c r="AD182" s="258"/>
    </row>
    <row r="183" spans="1:30" ht="68.25" thickBot="1" x14ac:dyDescent="0.3">
      <c r="E183" s="85">
        <f t="shared" si="113"/>
        <v>5</v>
      </c>
      <c r="F183" s="71" t="s">
        <v>301</v>
      </c>
      <c r="G183" s="85">
        <v>3142</v>
      </c>
      <c r="H183" s="136">
        <v>1498000</v>
      </c>
      <c r="I183" s="214">
        <v>100000</v>
      </c>
      <c r="J183" s="214"/>
      <c r="K183" s="214">
        <v>50000</v>
      </c>
      <c r="L183" s="214">
        <v>175000</v>
      </c>
      <c r="M183" s="214"/>
      <c r="N183" s="214"/>
      <c r="O183" s="214">
        <v>400000</v>
      </c>
      <c r="P183" s="214"/>
      <c r="Q183" s="214"/>
      <c r="R183" s="214">
        <f>323000-279500</f>
        <v>43500</v>
      </c>
      <c r="S183" s="214"/>
      <c r="T183" s="227"/>
      <c r="U183" s="39">
        <f t="shared" si="112"/>
        <v>725000</v>
      </c>
      <c r="V183" s="77"/>
      <c r="W183" s="77"/>
      <c r="X183" s="78">
        <f t="shared" si="109"/>
        <v>0</v>
      </c>
      <c r="Y183" s="77"/>
      <c r="Z183" s="78">
        <f t="shared" si="110"/>
        <v>0</v>
      </c>
      <c r="AA183" s="42">
        <f t="shared" si="111"/>
        <v>-725000</v>
      </c>
      <c r="AB183" s="258"/>
      <c r="AC183" s="258"/>
      <c r="AD183" s="258"/>
    </row>
    <row r="184" spans="1:30" ht="45.75" thickBot="1" x14ac:dyDescent="0.3">
      <c r="E184" s="85">
        <f t="shared" si="113"/>
        <v>6</v>
      </c>
      <c r="F184" s="71" t="s">
        <v>302</v>
      </c>
      <c r="G184" s="85">
        <v>3142</v>
      </c>
      <c r="H184" s="136">
        <v>100000</v>
      </c>
      <c r="I184" s="214"/>
      <c r="J184" s="214"/>
      <c r="K184" s="214"/>
      <c r="L184" s="214"/>
      <c r="M184" s="214"/>
      <c r="N184" s="214">
        <v>100000</v>
      </c>
      <c r="O184" s="214"/>
      <c r="P184" s="214"/>
      <c r="Q184" s="214"/>
      <c r="R184" s="214"/>
      <c r="S184" s="214"/>
      <c r="T184" s="227"/>
      <c r="U184" s="39">
        <f t="shared" si="112"/>
        <v>100000</v>
      </c>
      <c r="V184" s="77"/>
      <c r="W184" s="77"/>
      <c r="X184" s="78">
        <f t="shared" si="109"/>
        <v>0</v>
      </c>
      <c r="Y184" s="77"/>
      <c r="Z184" s="78">
        <f t="shared" si="110"/>
        <v>0</v>
      </c>
      <c r="AA184" s="42">
        <f t="shared" si="111"/>
        <v>-100000</v>
      </c>
      <c r="AB184" s="258"/>
      <c r="AC184" s="258"/>
      <c r="AD184" s="258"/>
    </row>
    <row r="185" spans="1:30" ht="68.25" thickBot="1" x14ac:dyDescent="0.3">
      <c r="E185" s="85">
        <f t="shared" si="113"/>
        <v>7</v>
      </c>
      <c r="F185" s="71" t="s">
        <v>303</v>
      </c>
      <c r="G185" s="85">
        <v>3142</v>
      </c>
      <c r="H185" s="136">
        <v>100000</v>
      </c>
      <c r="I185" s="215"/>
      <c r="J185" s="215"/>
      <c r="K185" s="215"/>
      <c r="L185" s="215"/>
      <c r="M185" s="216"/>
      <c r="N185" s="216">
        <v>100000</v>
      </c>
      <c r="O185" s="216"/>
      <c r="P185" s="216"/>
      <c r="Q185" s="216"/>
      <c r="R185" s="214"/>
      <c r="S185" s="215"/>
      <c r="T185" s="237"/>
      <c r="U185" s="39">
        <f t="shared" si="112"/>
        <v>100000</v>
      </c>
      <c r="V185" s="77"/>
      <c r="W185" s="77"/>
      <c r="X185" s="78">
        <f t="shared" si="109"/>
        <v>0</v>
      </c>
      <c r="Y185" s="77"/>
      <c r="Z185" s="78">
        <f t="shared" si="110"/>
        <v>0</v>
      </c>
      <c r="AA185" s="42">
        <f t="shared" si="111"/>
        <v>-100000</v>
      </c>
      <c r="AB185" s="258"/>
      <c r="AC185" s="258"/>
      <c r="AD185" s="258"/>
    </row>
    <row r="186" spans="1:30" ht="15.75" thickBot="1" x14ac:dyDescent="0.3">
      <c r="E186" s="85"/>
      <c r="F186" s="141" t="s">
        <v>192</v>
      </c>
      <c r="G186" s="137"/>
      <c r="H186" s="136">
        <f>SUM(I186:T186)</f>
        <v>500000</v>
      </c>
      <c r="I186" s="136">
        <f>SUM(I179:I180)</f>
        <v>50000</v>
      </c>
      <c r="J186" s="136">
        <f t="shared" ref="J186:AA186" si="114">SUM(J179:J180)</f>
        <v>100000</v>
      </c>
      <c r="K186" s="136">
        <f t="shared" si="114"/>
        <v>50000</v>
      </c>
      <c r="L186" s="136">
        <f t="shared" si="114"/>
        <v>0</v>
      </c>
      <c r="M186" s="136">
        <f t="shared" si="114"/>
        <v>75000</v>
      </c>
      <c r="N186" s="136">
        <f t="shared" si="114"/>
        <v>0</v>
      </c>
      <c r="O186" s="136">
        <f t="shared" si="114"/>
        <v>0</v>
      </c>
      <c r="P186" s="136">
        <f t="shared" si="114"/>
        <v>0</v>
      </c>
      <c r="Q186" s="136">
        <f t="shared" si="114"/>
        <v>225000</v>
      </c>
      <c r="R186" s="136">
        <f t="shared" si="114"/>
        <v>0</v>
      </c>
      <c r="S186" s="136">
        <f t="shared" si="114"/>
        <v>0</v>
      </c>
      <c r="T186" s="165">
        <f t="shared" si="114"/>
        <v>0</v>
      </c>
      <c r="U186" s="136">
        <f t="shared" si="114"/>
        <v>275000</v>
      </c>
      <c r="V186" s="136">
        <f t="shared" si="114"/>
        <v>0</v>
      </c>
      <c r="W186" s="136">
        <f t="shared" si="114"/>
        <v>0</v>
      </c>
      <c r="X186" s="136">
        <f t="shared" si="114"/>
        <v>0</v>
      </c>
      <c r="Y186" s="136">
        <f t="shared" si="114"/>
        <v>0</v>
      </c>
      <c r="Z186" s="136">
        <f t="shared" si="114"/>
        <v>0</v>
      </c>
      <c r="AA186" s="136">
        <f t="shared" si="114"/>
        <v>-275000</v>
      </c>
      <c r="AB186" s="269"/>
      <c r="AC186" s="269"/>
      <c r="AD186" s="269"/>
    </row>
    <row r="187" spans="1:30" ht="15.75" thickBot="1" x14ac:dyDescent="0.3">
      <c r="E187" s="85"/>
      <c r="F187" s="141" t="s">
        <v>291</v>
      </c>
      <c r="G187" s="137"/>
      <c r="H187" s="136">
        <f>SUM(I187:T187)</f>
        <v>2237000</v>
      </c>
      <c r="I187" s="136">
        <f>SUM(I181:I185)</f>
        <v>150000</v>
      </c>
      <c r="J187" s="136">
        <f t="shared" ref="J187:AA187" si="115">SUM(J181:J185)</f>
        <v>50000</v>
      </c>
      <c r="K187" s="136">
        <f t="shared" si="115"/>
        <v>76000</v>
      </c>
      <c r="L187" s="136">
        <f t="shared" si="115"/>
        <v>175000</v>
      </c>
      <c r="M187" s="136">
        <f t="shared" si="115"/>
        <v>400000</v>
      </c>
      <c r="N187" s="136">
        <f t="shared" si="115"/>
        <v>470500</v>
      </c>
      <c r="O187" s="136">
        <f t="shared" si="115"/>
        <v>545000</v>
      </c>
      <c r="P187" s="136">
        <f t="shared" si="115"/>
        <v>200000</v>
      </c>
      <c r="Q187" s="136">
        <f t="shared" si="115"/>
        <v>0</v>
      </c>
      <c r="R187" s="136">
        <f t="shared" si="115"/>
        <v>170500</v>
      </c>
      <c r="S187" s="136">
        <f t="shared" si="115"/>
        <v>0</v>
      </c>
      <c r="T187" s="165">
        <f t="shared" si="115"/>
        <v>0</v>
      </c>
      <c r="U187" s="136">
        <f t="shared" si="115"/>
        <v>1866500</v>
      </c>
      <c r="V187" s="136">
        <f t="shared" si="115"/>
        <v>0</v>
      </c>
      <c r="W187" s="136">
        <f t="shared" si="115"/>
        <v>0</v>
      </c>
      <c r="X187" s="136">
        <f t="shared" si="115"/>
        <v>0</v>
      </c>
      <c r="Y187" s="136">
        <f t="shared" si="115"/>
        <v>0</v>
      </c>
      <c r="Z187" s="136">
        <f t="shared" si="115"/>
        <v>0</v>
      </c>
      <c r="AA187" s="136">
        <f t="shared" si="115"/>
        <v>-1866500</v>
      </c>
      <c r="AB187" s="269"/>
      <c r="AC187" s="269"/>
      <c r="AD187" s="269"/>
    </row>
    <row r="188" spans="1:30" ht="15.75" thickBot="1" x14ac:dyDescent="0.3">
      <c r="E188" s="85"/>
      <c r="F188" s="79" t="s">
        <v>316</v>
      </c>
      <c r="G188" s="137"/>
      <c r="H188" s="80">
        <f>SUM(H186:H187)</f>
        <v>2737000</v>
      </c>
      <c r="I188" s="80">
        <f t="shared" ref="I188:AA188" si="116">SUM(I186:I187)</f>
        <v>200000</v>
      </c>
      <c r="J188" s="80">
        <f t="shared" si="116"/>
        <v>150000</v>
      </c>
      <c r="K188" s="80">
        <f t="shared" si="116"/>
        <v>126000</v>
      </c>
      <c r="L188" s="80">
        <f t="shared" si="116"/>
        <v>175000</v>
      </c>
      <c r="M188" s="80">
        <f t="shared" si="116"/>
        <v>475000</v>
      </c>
      <c r="N188" s="80">
        <f t="shared" si="116"/>
        <v>470500</v>
      </c>
      <c r="O188" s="80">
        <f t="shared" si="116"/>
        <v>545000</v>
      </c>
      <c r="P188" s="80">
        <f t="shared" si="116"/>
        <v>200000</v>
      </c>
      <c r="Q188" s="80">
        <f t="shared" si="116"/>
        <v>225000</v>
      </c>
      <c r="R188" s="80">
        <f t="shared" si="116"/>
        <v>170500</v>
      </c>
      <c r="S188" s="80">
        <f t="shared" si="116"/>
        <v>0</v>
      </c>
      <c r="T188" s="236">
        <f t="shared" si="116"/>
        <v>0</v>
      </c>
      <c r="U188" s="80">
        <f t="shared" si="116"/>
        <v>2141500</v>
      </c>
      <c r="V188" s="80">
        <f t="shared" si="116"/>
        <v>0</v>
      </c>
      <c r="W188" s="80">
        <f t="shared" si="116"/>
        <v>0</v>
      </c>
      <c r="X188" s="80">
        <f t="shared" si="116"/>
        <v>0</v>
      </c>
      <c r="Y188" s="80">
        <f t="shared" si="116"/>
        <v>0</v>
      </c>
      <c r="Z188" s="80">
        <f t="shared" si="116"/>
        <v>0</v>
      </c>
      <c r="AA188" s="80">
        <f t="shared" si="116"/>
        <v>-2141500</v>
      </c>
      <c r="AB188" s="268"/>
      <c r="AC188" s="268"/>
      <c r="AD188" s="268"/>
    </row>
    <row r="189" spans="1:30" ht="35.25" thickTop="1" thickBot="1" x14ac:dyDescent="0.3">
      <c r="A189" s="3" t="s">
        <v>0</v>
      </c>
      <c r="B189" s="3" t="s">
        <v>1</v>
      </c>
      <c r="C189" s="3"/>
      <c r="D189" s="4" t="s">
        <v>3</v>
      </c>
      <c r="E189" s="83">
        <v>3117322</v>
      </c>
      <c r="F189" s="445" t="s">
        <v>306</v>
      </c>
      <c r="G189" s="446"/>
      <c r="H189" s="7" t="s">
        <v>155</v>
      </c>
      <c r="I189" s="8" t="s">
        <v>7</v>
      </c>
      <c r="J189" s="9" t="s">
        <v>8</v>
      </c>
      <c r="K189" s="9" t="s">
        <v>9</v>
      </c>
      <c r="L189" s="8" t="s">
        <v>10</v>
      </c>
      <c r="M189" s="8" t="s">
        <v>11</v>
      </c>
      <c r="N189" s="10" t="s">
        <v>12</v>
      </c>
      <c r="O189" s="11" t="s">
        <v>13</v>
      </c>
      <c r="P189" s="12" t="s">
        <v>14</v>
      </c>
      <c r="Q189" s="12" t="s">
        <v>15</v>
      </c>
      <c r="R189" s="13" t="s">
        <v>16</v>
      </c>
      <c r="S189" s="8" t="s">
        <v>17</v>
      </c>
      <c r="T189" s="221" t="s">
        <v>18</v>
      </c>
      <c r="U189" s="7" t="s">
        <v>426</v>
      </c>
      <c r="V189" s="7" t="s">
        <v>19</v>
      </c>
      <c r="W189" s="7" t="s">
        <v>20</v>
      </c>
      <c r="X189" s="7" t="s">
        <v>21</v>
      </c>
      <c r="Y189" s="5" t="s">
        <v>22</v>
      </c>
      <c r="Z189" s="14" t="s">
        <v>23</v>
      </c>
      <c r="AA189" s="14" t="s">
        <v>24</v>
      </c>
      <c r="AB189" s="255"/>
      <c r="AC189" s="255"/>
      <c r="AD189" s="255"/>
    </row>
    <row r="190" spans="1:30" ht="78" customHeight="1" thickTop="1" thickBot="1" x14ac:dyDescent="0.3">
      <c r="E190" s="85">
        <v>1</v>
      </c>
      <c r="F190" s="302" t="s">
        <v>304</v>
      </c>
      <c r="G190" s="85">
        <v>3122</v>
      </c>
      <c r="H190" s="136">
        <v>500000</v>
      </c>
      <c r="I190" s="137"/>
      <c r="J190" s="138">
        <v>50000</v>
      </c>
      <c r="K190" s="137"/>
      <c r="L190" s="137"/>
      <c r="M190" s="139"/>
      <c r="N190" s="139"/>
      <c r="O190" s="167">
        <v>450000</v>
      </c>
      <c r="P190" s="139"/>
      <c r="Q190" s="139"/>
      <c r="R190" s="87"/>
      <c r="S190" s="137"/>
      <c r="T190" s="238"/>
      <c r="U190" s="39">
        <f>I190+J190+K190+L190+M190+N190+O190</f>
        <v>500000</v>
      </c>
      <c r="V190" s="77"/>
      <c r="W190" s="77"/>
      <c r="X190" s="78">
        <f t="shared" ref="X190" si="117">W190-V190</f>
        <v>0</v>
      </c>
      <c r="Y190" s="77"/>
      <c r="Z190" s="78">
        <f t="shared" ref="Z190" si="118">Y190-V190</f>
        <v>0</v>
      </c>
      <c r="AA190" s="42">
        <f t="shared" ref="AA190" si="119">Y190-U190</f>
        <v>-500000</v>
      </c>
      <c r="AB190" s="258"/>
      <c r="AC190" s="258"/>
      <c r="AD190" s="258"/>
    </row>
    <row r="191" spans="1:30" ht="15.75" thickBot="1" x14ac:dyDescent="0.3">
      <c r="E191" s="85"/>
      <c r="F191" s="79" t="s">
        <v>305</v>
      </c>
      <c r="G191" s="137"/>
      <c r="H191" s="80">
        <f>H190</f>
        <v>500000</v>
      </c>
      <c r="I191" s="80">
        <f t="shared" ref="I191:AA191" si="120">I190</f>
        <v>0</v>
      </c>
      <c r="J191" s="80">
        <f t="shared" si="120"/>
        <v>50000</v>
      </c>
      <c r="K191" s="80">
        <f t="shared" si="120"/>
        <v>0</v>
      </c>
      <c r="L191" s="80">
        <f t="shared" si="120"/>
        <v>0</v>
      </c>
      <c r="M191" s="80">
        <f t="shared" si="120"/>
        <v>0</v>
      </c>
      <c r="N191" s="80">
        <f t="shared" si="120"/>
        <v>0</v>
      </c>
      <c r="O191" s="80">
        <f t="shared" si="120"/>
        <v>450000</v>
      </c>
      <c r="P191" s="80">
        <f t="shared" si="120"/>
        <v>0</v>
      </c>
      <c r="Q191" s="80">
        <f t="shared" si="120"/>
        <v>0</v>
      </c>
      <c r="R191" s="80">
        <f t="shared" si="120"/>
        <v>0</v>
      </c>
      <c r="S191" s="80">
        <f t="shared" si="120"/>
        <v>0</v>
      </c>
      <c r="T191" s="236">
        <f t="shared" si="120"/>
        <v>0</v>
      </c>
      <c r="U191" s="80">
        <f t="shared" si="120"/>
        <v>500000</v>
      </c>
      <c r="V191" s="80">
        <f t="shared" si="120"/>
        <v>0</v>
      </c>
      <c r="W191" s="80">
        <f t="shared" si="120"/>
        <v>0</v>
      </c>
      <c r="X191" s="80">
        <f t="shared" si="120"/>
        <v>0</v>
      </c>
      <c r="Y191" s="80">
        <f t="shared" si="120"/>
        <v>0</v>
      </c>
      <c r="Z191" s="80">
        <f t="shared" si="120"/>
        <v>0</v>
      </c>
      <c r="AA191" s="80">
        <f t="shared" si="120"/>
        <v>-500000</v>
      </c>
      <c r="AB191" s="268"/>
      <c r="AC191" s="268"/>
      <c r="AD191" s="268"/>
    </row>
    <row r="192" spans="1:30" ht="35.25" thickTop="1" thickBot="1" x14ac:dyDescent="0.3">
      <c r="A192" s="3" t="s">
        <v>0</v>
      </c>
      <c r="B192" s="3" t="s">
        <v>1</v>
      </c>
      <c r="C192" s="3"/>
      <c r="D192" s="4" t="s">
        <v>3</v>
      </c>
      <c r="E192" s="83">
        <v>3117323</v>
      </c>
      <c r="F192" s="445" t="s">
        <v>399</v>
      </c>
      <c r="G192" s="446"/>
      <c r="H192" s="7" t="s">
        <v>155</v>
      </c>
      <c r="I192" s="8" t="s">
        <v>7</v>
      </c>
      <c r="J192" s="9" t="s">
        <v>8</v>
      </c>
      <c r="K192" s="9" t="s">
        <v>9</v>
      </c>
      <c r="L192" s="8" t="s">
        <v>10</v>
      </c>
      <c r="M192" s="8" t="s">
        <v>11</v>
      </c>
      <c r="N192" s="10" t="s">
        <v>12</v>
      </c>
      <c r="O192" s="11" t="s">
        <v>13</v>
      </c>
      <c r="P192" s="12" t="s">
        <v>14</v>
      </c>
      <c r="Q192" s="12" t="s">
        <v>15</v>
      </c>
      <c r="R192" s="13" t="s">
        <v>16</v>
      </c>
      <c r="S192" s="8" t="s">
        <v>17</v>
      </c>
      <c r="T192" s="221" t="s">
        <v>18</v>
      </c>
      <c r="U192" s="7" t="s">
        <v>426</v>
      </c>
      <c r="V192" s="7" t="s">
        <v>19</v>
      </c>
      <c r="W192" s="7" t="s">
        <v>20</v>
      </c>
      <c r="X192" s="7" t="s">
        <v>21</v>
      </c>
      <c r="Y192" s="5" t="s">
        <v>22</v>
      </c>
      <c r="Z192" s="14" t="s">
        <v>23</v>
      </c>
      <c r="AA192" s="14" t="s">
        <v>24</v>
      </c>
      <c r="AB192" s="255"/>
      <c r="AC192" s="255"/>
      <c r="AD192" s="255"/>
    </row>
    <row r="193" spans="1:32" ht="61.5" thickTop="1" thickBot="1" x14ac:dyDescent="0.3">
      <c r="E193" s="85">
        <v>1</v>
      </c>
      <c r="F193" s="212" t="s">
        <v>403</v>
      </c>
      <c r="G193" s="85">
        <v>3122</v>
      </c>
      <c r="H193" s="136">
        <f>SUM(I193:T193)</f>
        <v>2200000</v>
      </c>
      <c r="I193" s="88"/>
      <c r="J193" s="88">
        <v>200000</v>
      </c>
      <c r="K193" s="88">
        <v>200000</v>
      </c>
      <c r="L193" s="87"/>
      <c r="M193" s="87">
        <v>1000000</v>
      </c>
      <c r="N193" s="87">
        <v>500000</v>
      </c>
      <c r="O193" s="87"/>
      <c r="P193" s="87">
        <v>300000</v>
      </c>
      <c r="Q193" s="88"/>
      <c r="R193" s="87"/>
      <c r="S193" s="87"/>
      <c r="T193" s="229"/>
      <c r="U193" s="39">
        <f>I193+J193+K193+L193+M193+N193+O193</f>
        <v>1900000</v>
      </c>
      <c r="V193" s="77"/>
      <c r="W193" s="77"/>
      <c r="X193" s="78">
        <f t="shared" ref="X193" si="121">W193-V193</f>
        <v>0</v>
      </c>
      <c r="Y193" s="77"/>
      <c r="Z193" s="78">
        <f t="shared" ref="Z193" si="122">Y193-V193</f>
        <v>0</v>
      </c>
      <c r="AA193" s="42">
        <f t="shared" ref="AA193" si="123">Y193-U193</f>
        <v>-1900000</v>
      </c>
      <c r="AB193" s="258"/>
      <c r="AC193" s="258"/>
      <c r="AD193" s="258"/>
    </row>
    <row r="194" spans="1:32" ht="15.75" thickBot="1" x14ac:dyDescent="0.3">
      <c r="A194" s="1"/>
      <c r="B194" s="1"/>
      <c r="C194" s="1"/>
      <c r="D194" s="2"/>
      <c r="E194" s="81"/>
      <c r="F194" s="82" t="s">
        <v>177</v>
      </c>
      <c r="G194" s="75"/>
      <c r="H194" s="68">
        <f>H193</f>
        <v>2200000</v>
      </c>
      <c r="I194" s="68">
        <f t="shared" ref="I194:AA195" si="124">I193</f>
        <v>0</v>
      </c>
      <c r="J194" s="68">
        <f t="shared" si="124"/>
        <v>200000</v>
      </c>
      <c r="K194" s="68">
        <f t="shared" si="124"/>
        <v>200000</v>
      </c>
      <c r="L194" s="68">
        <f t="shared" si="124"/>
        <v>0</v>
      </c>
      <c r="M194" s="68">
        <f t="shared" si="124"/>
        <v>1000000</v>
      </c>
      <c r="N194" s="68">
        <f t="shared" si="124"/>
        <v>500000</v>
      </c>
      <c r="O194" s="68">
        <f t="shared" si="124"/>
        <v>0</v>
      </c>
      <c r="P194" s="68">
        <f t="shared" si="124"/>
        <v>300000</v>
      </c>
      <c r="Q194" s="68">
        <f t="shared" si="124"/>
        <v>0</v>
      </c>
      <c r="R194" s="68">
        <f t="shared" si="124"/>
        <v>0</v>
      </c>
      <c r="S194" s="68">
        <f t="shared" si="124"/>
        <v>0</v>
      </c>
      <c r="T194" s="234">
        <f t="shared" si="124"/>
        <v>0</v>
      </c>
      <c r="U194" s="68">
        <f t="shared" si="124"/>
        <v>1900000</v>
      </c>
      <c r="V194" s="68">
        <f t="shared" si="124"/>
        <v>0</v>
      </c>
      <c r="W194" s="68">
        <f t="shared" si="124"/>
        <v>0</v>
      </c>
      <c r="X194" s="68">
        <f t="shared" si="124"/>
        <v>0</v>
      </c>
      <c r="Y194" s="68">
        <f t="shared" si="124"/>
        <v>0</v>
      </c>
      <c r="Z194" s="68">
        <f t="shared" si="124"/>
        <v>0</v>
      </c>
      <c r="AA194" s="68">
        <f t="shared" si="124"/>
        <v>-1900000</v>
      </c>
      <c r="AB194" s="267"/>
      <c r="AC194" s="267"/>
      <c r="AD194" s="267"/>
      <c r="AE194" s="43"/>
      <c r="AF194" s="43"/>
    </row>
    <row r="195" spans="1:32" ht="15.75" thickBot="1" x14ac:dyDescent="0.3">
      <c r="E195" s="73"/>
      <c r="F195" s="79" t="s">
        <v>402</v>
      </c>
      <c r="H195" s="80">
        <f>H194</f>
        <v>2200000</v>
      </c>
      <c r="I195" s="80">
        <f t="shared" si="124"/>
        <v>0</v>
      </c>
      <c r="J195" s="80">
        <f t="shared" si="124"/>
        <v>200000</v>
      </c>
      <c r="K195" s="80">
        <f t="shared" si="124"/>
        <v>200000</v>
      </c>
      <c r="L195" s="80">
        <f t="shared" si="124"/>
        <v>0</v>
      </c>
      <c r="M195" s="80">
        <f t="shared" si="124"/>
        <v>1000000</v>
      </c>
      <c r="N195" s="80">
        <f t="shared" si="124"/>
        <v>500000</v>
      </c>
      <c r="O195" s="80">
        <f t="shared" si="124"/>
        <v>0</v>
      </c>
      <c r="P195" s="80">
        <f t="shared" si="124"/>
        <v>300000</v>
      </c>
      <c r="Q195" s="80">
        <f t="shared" si="124"/>
        <v>0</v>
      </c>
      <c r="R195" s="80">
        <f t="shared" si="124"/>
        <v>0</v>
      </c>
      <c r="S195" s="80">
        <f t="shared" si="124"/>
        <v>0</v>
      </c>
      <c r="T195" s="236">
        <f t="shared" si="124"/>
        <v>0</v>
      </c>
      <c r="U195" s="80">
        <f t="shared" si="124"/>
        <v>1900000</v>
      </c>
      <c r="V195" s="80">
        <f t="shared" si="124"/>
        <v>0</v>
      </c>
      <c r="W195" s="80">
        <f t="shared" si="124"/>
        <v>0</v>
      </c>
      <c r="X195" s="80">
        <f t="shared" si="124"/>
        <v>0</v>
      </c>
      <c r="Y195" s="80">
        <f t="shared" si="124"/>
        <v>0</v>
      </c>
      <c r="Z195" s="80">
        <f t="shared" si="124"/>
        <v>0</v>
      </c>
      <c r="AA195" s="80">
        <f t="shared" si="124"/>
        <v>-1900000</v>
      </c>
      <c r="AB195" s="268"/>
      <c r="AC195" s="268"/>
      <c r="AD195" s="268"/>
    </row>
    <row r="196" spans="1:32" ht="35.25" thickTop="1" thickBot="1" x14ac:dyDescent="0.3">
      <c r="A196" s="3" t="s">
        <v>0</v>
      </c>
      <c r="B196" s="3" t="s">
        <v>1</v>
      </c>
      <c r="C196" s="3"/>
      <c r="D196" s="4" t="s">
        <v>3</v>
      </c>
      <c r="E196" s="83">
        <v>3117325</v>
      </c>
      <c r="F196" s="445" t="s">
        <v>307</v>
      </c>
      <c r="G196" s="446"/>
      <c r="H196" s="7" t="s">
        <v>155</v>
      </c>
      <c r="I196" s="8" t="s">
        <v>7</v>
      </c>
      <c r="J196" s="9" t="s">
        <v>8</v>
      </c>
      <c r="K196" s="9" t="s">
        <v>9</v>
      </c>
      <c r="L196" s="8" t="s">
        <v>10</v>
      </c>
      <c r="M196" s="8" t="s">
        <v>11</v>
      </c>
      <c r="N196" s="10" t="s">
        <v>12</v>
      </c>
      <c r="O196" s="11" t="s">
        <v>13</v>
      </c>
      <c r="P196" s="12" t="s">
        <v>14</v>
      </c>
      <c r="Q196" s="12" t="s">
        <v>15</v>
      </c>
      <c r="R196" s="13" t="s">
        <v>16</v>
      </c>
      <c r="S196" s="8" t="s">
        <v>17</v>
      </c>
      <c r="T196" s="221" t="s">
        <v>18</v>
      </c>
      <c r="U196" s="7" t="s">
        <v>426</v>
      </c>
      <c r="V196" s="7" t="s">
        <v>19</v>
      </c>
      <c r="W196" s="7" t="s">
        <v>20</v>
      </c>
      <c r="X196" s="7" t="s">
        <v>21</v>
      </c>
      <c r="Y196" s="5" t="s">
        <v>22</v>
      </c>
      <c r="Z196" s="14" t="s">
        <v>23</v>
      </c>
      <c r="AA196" s="14" t="s">
        <v>24</v>
      </c>
      <c r="AB196" s="255"/>
      <c r="AC196" s="255"/>
      <c r="AD196" s="255"/>
    </row>
    <row r="197" spans="1:32" ht="49.5" thickTop="1" thickBot="1" x14ac:dyDescent="0.3">
      <c r="E197" s="85">
        <v>1</v>
      </c>
      <c r="F197" s="168" t="s">
        <v>308</v>
      </c>
      <c r="G197" s="85">
        <v>3122</v>
      </c>
      <c r="H197" s="136">
        <v>50000</v>
      </c>
      <c r="I197" s="87"/>
      <c r="J197" s="88">
        <v>24000</v>
      </c>
      <c r="K197" s="87"/>
      <c r="L197" s="87"/>
      <c r="M197" s="88">
        <v>26000</v>
      </c>
      <c r="N197" s="87"/>
      <c r="O197" s="87"/>
      <c r="P197" s="87"/>
      <c r="Q197" s="87"/>
      <c r="R197" s="87"/>
      <c r="S197" s="87"/>
      <c r="T197" s="229"/>
      <c r="U197" s="39">
        <f>I197+J197+K197+L197+M197+N197+O197</f>
        <v>50000</v>
      </c>
      <c r="V197" s="77"/>
      <c r="W197" s="77"/>
      <c r="X197" s="78">
        <f t="shared" ref="X197:X208" si="125">W197-V197</f>
        <v>0</v>
      </c>
      <c r="Y197" s="77"/>
      <c r="Z197" s="78">
        <f t="shared" ref="Z197:Z208" si="126">Y197-V197</f>
        <v>0</v>
      </c>
      <c r="AA197" s="42">
        <f t="shared" ref="AA197:AA208" si="127">Y197-U197</f>
        <v>-50000</v>
      </c>
      <c r="AB197" s="258"/>
      <c r="AC197" s="258"/>
      <c r="AD197" s="258"/>
    </row>
    <row r="198" spans="1:32" ht="60.75" thickBot="1" x14ac:dyDescent="0.3">
      <c r="E198" s="85">
        <v>2</v>
      </c>
      <c r="F198" s="168" t="s">
        <v>309</v>
      </c>
      <c r="G198" s="85">
        <v>3122</v>
      </c>
      <c r="H198" s="136">
        <v>450000</v>
      </c>
      <c r="I198" s="87"/>
      <c r="J198" s="88">
        <v>100000</v>
      </c>
      <c r="K198" s="87"/>
      <c r="L198" s="87"/>
      <c r="M198" s="88">
        <v>324000</v>
      </c>
      <c r="N198" s="87"/>
      <c r="O198" s="87"/>
      <c r="P198" s="88">
        <v>26000</v>
      </c>
      <c r="Q198" s="87"/>
      <c r="R198" s="87"/>
      <c r="S198" s="87"/>
      <c r="T198" s="229"/>
      <c r="U198" s="39">
        <f t="shared" ref="U198:U200" si="128">I198+J198+K198+L198+M198+N198+O198</f>
        <v>424000</v>
      </c>
      <c r="V198" s="77"/>
      <c r="W198" s="77"/>
      <c r="X198" s="78">
        <f t="shared" si="125"/>
        <v>0</v>
      </c>
      <c r="Y198" s="77"/>
      <c r="Z198" s="78">
        <f t="shared" si="126"/>
        <v>0</v>
      </c>
      <c r="AA198" s="42">
        <f t="shared" si="127"/>
        <v>-424000</v>
      </c>
      <c r="AB198" s="258"/>
      <c r="AC198" s="258"/>
      <c r="AD198" s="258"/>
    </row>
    <row r="199" spans="1:32" ht="48.75" thickBot="1" x14ac:dyDescent="0.3">
      <c r="E199" s="85">
        <v>3</v>
      </c>
      <c r="F199" s="179" t="s">
        <v>357</v>
      </c>
      <c r="G199" s="85">
        <v>3142</v>
      </c>
      <c r="H199" s="136">
        <v>1000000</v>
      </c>
      <c r="I199" s="87"/>
      <c r="J199" s="87"/>
      <c r="K199" s="87"/>
      <c r="L199" s="87"/>
      <c r="M199" s="87"/>
      <c r="N199" s="87"/>
      <c r="O199" s="87"/>
      <c r="P199" s="88">
        <v>174000</v>
      </c>
      <c r="Q199" s="87"/>
      <c r="R199" s="88">
        <v>826000</v>
      </c>
      <c r="S199" s="87"/>
      <c r="T199" s="229"/>
      <c r="U199" s="39">
        <f t="shared" si="128"/>
        <v>0</v>
      </c>
      <c r="V199" s="77"/>
      <c r="W199" s="77"/>
      <c r="X199" s="78">
        <f t="shared" si="125"/>
        <v>0</v>
      </c>
      <c r="Y199" s="77"/>
      <c r="Z199" s="78">
        <f t="shared" si="126"/>
        <v>0</v>
      </c>
      <c r="AA199" s="42">
        <f t="shared" si="127"/>
        <v>0</v>
      </c>
      <c r="AB199" s="258"/>
      <c r="AC199" s="258"/>
      <c r="AD199" s="258"/>
    </row>
    <row r="200" spans="1:32" ht="36.75" thickBot="1" x14ac:dyDescent="0.3">
      <c r="E200" s="85">
        <v>4</v>
      </c>
      <c r="F200" s="168" t="s">
        <v>310</v>
      </c>
      <c r="G200" s="85">
        <v>3142</v>
      </c>
      <c r="H200" s="136">
        <v>1000000</v>
      </c>
      <c r="I200" s="88">
        <v>350000</v>
      </c>
      <c r="J200" s="88">
        <v>50000</v>
      </c>
      <c r="K200" s="87"/>
      <c r="L200" s="87"/>
      <c r="M200" s="88">
        <v>200000</v>
      </c>
      <c r="N200" s="87"/>
      <c r="O200" s="87"/>
      <c r="P200" s="87"/>
      <c r="Q200" s="88">
        <v>400000</v>
      </c>
      <c r="R200" s="87"/>
      <c r="S200" s="87"/>
      <c r="T200" s="229"/>
      <c r="U200" s="39">
        <f t="shared" si="128"/>
        <v>600000</v>
      </c>
      <c r="V200" s="77"/>
      <c r="W200" s="77"/>
      <c r="X200" s="78">
        <f t="shared" si="125"/>
        <v>0</v>
      </c>
      <c r="Y200" s="77"/>
      <c r="Z200" s="78">
        <f t="shared" si="126"/>
        <v>0</v>
      </c>
      <c r="AA200" s="42">
        <f t="shared" si="127"/>
        <v>-600000</v>
      </c>
      <c r="AB200" s="258"/>
      <c r="AC200" s="258"/>
      <c r="AD200" s="258"/>
    </row>
    <row r="201" spans="1:32" ht="15.75" thickBot="1" x14ac:dyDescent="0.3">
      <c r="E201" s="141"/>
      <c r="F201" s="141" t="s">
        <v>192</v>
      </c>
      <c r="G201" s="137"/>
      <c r="H201" s="136">
        <f>H197+H198</f>
        <v>500000</v>
      </c>
      <c r="I201" s="136">
        <f t="shared" ref="I201:AA201" si="129">I197+I198</f>
        <v>0</v>
      </c>
      <c r="J201" s="136">
        <f t="shared" si="129"/>
        <v>124000</v>
      </c>
      <c r="K201" s="136">
        <f t="shared" si="129"/>
        <v>0</v>
      </c>
      <c r="L201" s="136">
        <f t="shared" si="129"/>
        <v>0</v>
      </c>
      <c r="M201" s="136">
        <f t="shared" si="129"/>
        <v>350000</v>
      </c>
      <c r="N201" s="136">
        <f t="shared" si="129"/>
        <v>0</v>
      </c>
      <c r="O201" s="136">
        <f t="shared" si="129"/>
        <v>0</v>
      </c>
      <c r="P201" s="136">
        <f t="shared" si="129"/>
        <v>26000</v>
      </c>
      <c r="Q201" s="136">
        <f t="shared" si="129"/>
        <v>0</v>
      </c>
      <c r="R201" s="136">
        <f t="shared" si="129"/>
        <v>0</v>
      </c>
      <c r="S201" s="136">
        <f t="shared" si="129"/>
        <v>0</v>
      </c>
      <c r="T201" s="165">
        <f t="shared" si="129"/>
        <v>0</v>
      </c>
      <c r="U201" s="136">
        <f t="shared" si="129"/>
        <v>474000</v>
      </c>
      <c r="V201" s="136">
        <f t="shared" si="129"/>
        <v>0</v>
      </c>
      <c r="W201" s="136">
        <f t="shared" si="129"/>
        <v>0</v>
      </c>
      <c r="X201" s="136">
        <f t="shared" si="129"/>
        <v>0</v>
      </c>
      <c r="Y201" s="136">
        <f t="shared" si="129"/>
        <v>0</v>
      </c>
      <c r="Z201" s="136">
        <f t="shared" si="129"/>
        <v>0</v>
      </c>
      <c r="AA201" s="136">
        <f t="shared" si="129"/>
        <v>-474000</v>
      </c>
      <c r="AB201" s="269"/>
      <c r="AC201" s="269"/>
      <c r="AD201" s="269"/>
    </row>
    <row r="202" spans="1:32" ht="15.75" thickBot="1" x14ac:dyDescent="0.3">
      <c r="E202" s="141"/>
      <c r="F202" s="141" t="s">
        <v>291</v>
      </c>
      <c r="G202" s="137"/>
      <c r="H202" s="136">
        <f>H199+H200</f>
        <v>2000000</v>
      </c>
      <c r="I202" s="136">
        <f t="shared" ref="I202:AA202" si="130">I199+I200</f>
        <v>350000</v>
      </c>
      <c r="J202" s="136">
        <f t="shared" si="130"/>
        <v>50000</v>
      </c>
      <c r="K202" s="136">
        <f t="shared" si="130"/>
        <v>0</v>
      </c>
      <c r="L202" s="136">
        <f t="shared" si="130"/>
        <v>0</v>
      </c>
      <c r="M202" s="136">
        <f t="shared" si="130"/>
        <v>200000</v>
      </c>
      <c r="N202" s="136">
        <f t="shared" si="130"/>
        <v>0</v>
      </c>
      <c r="O202" s="136">
        <f t="shared" si="130"/>
        <v>0</v>
      </c>
      <c r="P202" s="136">
        <f t="shared" si="130"/>
        <v>174000</v>
      </c>
      <c r="Q202" s="136">
        <f t="shared" si="130"/>
        <v>400000</v>
      </c>
      <c r="R202" s="136">
        <f t="shared" si="130"/>
        <v>826000</v>
      </c>
      <c r="S202" s="136">
        <f t="shared" si="130"/>
        <v>0</v>
      </c>
      <c r="T202" s="165">
        <f t="shared" si="130"/>
        <v>0</v>
      </c>
      <c r="U202" s="136">
        <f t="shared" si="130"/>
        <v>600000</v>
      </c>
      <c r="V202" s="136">
        <f t="shared" si="130"/>
        <v>0</v>
      </c>
      <c r="W202" s="136">
        <f t="shared" si="130"/>
        <v>0</v>
      </c>
      <c r="X202" s="136">
        <f t="shared" si="130"/>
        <v>0</v>
      </c>
      <c r="Y202" s="136">
        <f t="shared" si="130"/>
        <v>0</v>
      </c>
      <c r="Z202" s="136">
        <f t="shared" si="130"/>
        <v>0</v>
      </c>
      <c r="AA202" s="136">
        <f t="shared" si="130"/>
        <v>-600000</v>
      </c>
      <c r="AB202" s="269"/>
      <c r="AC202" s="269"/>
      <c r="AD202" s="269"/>
    </row>
    <row r="203" spans="1:32" ht="15.75" thickBot="1" x14ac:dyDescent="0.3">
      <c r="E203" s="85"/>
      <c r="F203" s="79" t="s">
        <v>315</v>
      </c>
      <c r="G203" s="137"/>
      <c r="H203" s="80">
        <f>H201+H202</f>
        <v>2500000</v>
      </c>
      <c r="I203" s="80">
        <f t="shared" ref="I203:AA203" si="131">I201+I202</f>
        <v>350000</v>
      </c>
      <c r="J203" s="80">
        <f t="shared" si="131"/>
        <v>174000</v>
      </c>
      <c r="K203" s="80">
        <f t="shared" si="131"/>
        <v>0</v>
      </c>
      <c r="L203" s="80">
        <f t="shared" si="131"/>
        <v>0</v>
      </c>
      <c r="M203" s="80">
        <f t="shared" si="131"/>
        <v>550000</v>
      </c>
      <c r="N203" s="80">
        <f t="shared" si="131"/>
        <v>0</v>
      </c>
      <c r="O203" s="80">
        <f t="shared" si="131"/>
        <v>0</v>
      </c>
      <c r="P203" s="80">
        <f t="shared" si="131"/>
        <v>200000</v>
      </c>
      <c r="Q203" s="80">
        <f t="shared" si="131"/>
        <v>400000</v>
      </c>
      <c r="R203" s="80">
        <f t="shared" si="131"/>
        <v>826000</v>
      </c>
      <c r="S203" s="80">
        <f t="shared" si="131"/>
        <v>0</v>
      </c>
      <c r="T203" s="236">
        <f t="shared" si="131"/>
        <v>0</v>
      </c>
      <c r="U203" s="80">
        <f t="shared" si="131"/>
        <v>1074000</v>
      </c>
      <c r="V203" s="80">
        <f t="shared" si="131"/>
        <v>0</v>
      </c>
      <c r="W203" s="80">
        <f t="shared" si="131"/>
        <v>0</v>
      </c>
      <c r="X203" s="80">
        <f t="shared" si="131"/>
        <v>0</v>
      </c>
      <c r="Y203" s="80">
        <f t="shared" si="131"/>
        <v>0</v>
      </c>
      <c r="Z203" s="80">
        <f t="shared" si="131"/>
        <v>0</v>
      </c>
      <c r="AA203" s="80">
        <f t="shared" si="131"/>
        <v>-1074000</v>
      </c>
      <c r="AB203" s="268"/>
      <c r="AC203" s="268"/>
      <c r="AD203" s="268"/>
    </row>
    <row r="204" spans="1:32" ht="26.25" customHeight="1" thickTop="1" thickBot="1" x14ac:dyDescent="0.3">
      <c r="A204" s="3" t="s">
        <v>0</v>
      </c>
      <c r="B204" s="3" t="s">
        <v>1</v>
      </c>
      <c r="C204" s="3"/>
      <c r="D204" s="4" t="s">
        <v>3</v>
      </c>
      <c r="E204" s="83">
        <v>3117330</v>
      </c>
      <c r="F204" s="445" t="s">
        <v>311</v>
      </c>
      <c r="G204" s="446"/>
      <c r="H204" s="7" t="s">
        <v>155</v>
      </c>
      <c r="I204" s="8" t="s">
        <v>7</v>
      </c>
      <c r="J204" s="9" t="s">
        <v>8</v>
      </c>
      <c r="K204" s="9" t="s">
        <v>9</v>
      </c>
      <c r="L204" s="8" t="s">
        <v>10</v>
      </c>
      <c r="M204" s="8" t="s">
        <v>11</v>
      </c>
      <c r="N204" s="10" t="s">
        <v>12</v>
      </c>
      <c r="O204" s="11" t="s">
        <v>13</v>
      </c>
      <c r="P204" s="12" t="s">
        <v>14</v>
      </c>
      <c r="Q204" s="12" t="s">
        <v>15</v>
      </c>
      <c r="R204" s="13" t="s">
        <v>16</v>
      </c>
      <c r="S204" s="8" t="s">
        <v>17</v>
      </c>
      <c r="T204" s="221" t="s">
        <v>18</v>
      </c>
      <c r="U204" s="7" t="s">
        <v>426</v>
      </c>
      <c r="V204" s="7" t="s">
        <v>19</v>
      </c>
      <c r="W204" s="7" t="s">
        <v>20</v>
      </c>
      <c r="X204" s="7" t="s">
        <v>21</v>
      </c>
      <c r="Y204" s="5" t="s">
        <v>22</v>
      </c>
      <c r="Z204" s="14" t="s">
        <v>23</v>
      </c>
      <c r="AA204" s="14" t="s">
        <v>24</v>
      </c>
      <c r="AB204" s="255"/>
      <c r="AC204" s="255"/>
      <c r="AD204" s="255"/>
    </row>
    <row r="205" spans="1:32" ht="61.5" thickTop="1" thickBot="1" x14ac:dyDescent="0.3">
      <c r="E205" s="85">
        <v>1</v>
      </c>
      <c r="F205" s="168" t="s">
        <v>312</v>
      </c>
      <c r="G205" s="85">
        <v>3122</v>
      </c>
      <c r="H205" s="136">
        <v>60000</v>
      </c>
      <c r="I205" s="87"/>
      <c r="J205" s="87"/>
      <c r="K205" s="87"/>
      <c r="L205" s="87"/>
      <c r="M205" s="87"/>
      <c r="N205" s="87"/>
      <c r="O205" s="87"/>
      <c r="P205" s="87"/>
      <c r="Q205" s="87"/>
      <c r="R205" s="88">
        <v>60000</v>
      </c>
      <c r="S205" s="87"/>
      <c r="T205" s="229"/>
      <c r="U205" s="39">
        <f>I205+J205+K205+L205+M205+N205+O205</f>
        <v>0</v>
      </c>
      <c r="V205" s="77"/>
      <c r="W205" s="77"/>
      <c r="X205" s="78">
        <f t="shared" si="125"/>
        <v>0</v>
      </c>
      <c r="Y205" s="77"/>
      <c r="Z205" s="78">
        <f t="shared" si="126"/>
        <v>0</v>
      </c>
      <c r="AA205" s="42">
        <f t="shared" si="127"/>
        <v>0</v>
      </c>
      <c r="AB205" s="258"/>
      <c r="AC205" s="258"/>
      <c r="AD205" s="258"/>
    </row>
    <row r="206" spans="1:32" ht="60.75" thickBot="1" x14ac:dyDescent="0.3">
      <c r="E206" s="85">
        <v>2</v>
      </c>
      <c r="F206" s="179" t="s">
        <v>358</v>
      </c>
      <c r="G206" s="85">
        <v>3142</v>
      </c>
      <c r="H206" s="136">
        <v>250000</v>
      </c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8">
        <v>250000</v>
      </c>
      <c r="T206" s="229"/>
      <c r="U206" s="39">
        <f t="shared" ref="U206:U208" si="132">I206+J206+K206+L206+M206+N206+O206</f>
        <v>0</v>
      </c>
      <c r="V206" s="77"/>
      <c r="W206" s="77"/>
      <c r="X206" s="78">
        <f t="shared" si="125"/>
        <v>0</v>
      </c>
      <c r="Y206" s="77"/>
      <c r="Z206" s="78">
        <f t="shared" si="126"/>
        <v>0</v>
      </c>
      <c r="AA206" s="42">
        <f t="shared" si="127"/>
        <v>0</v>
      </c>
      <c r="AB206" s="258"/>
      <c r="AC206" s="258"/>
      <c r="AD206" s="258"/>
    </row>
    <row r="207" spans="1:32" ht="48.75" thickBot="1" x14ac:dyDescent="0.3">
      <c r="E207" s="85">
        <v>3</v>
      </c>
      <c r="F207" s="168" t="s">
        <v>313</v>
      </c>
      <c r="G207" s="85">
        <v>3142</v>
      </c>
      <c r="H207" s="136">
        <v>1500000</v>
      </c>
      <c r="I207" s="87"/>
      <c r="J207" s="87"/>
      <c r="K207" s="88">
        <v>50000</v>
      </c>
      <c r="L207" s="88">
        <v>225000</v>
      </c>
      <c r="M207" s="88">
        <v>725000</v>
      </c>
      <c r="N207" s="88">
        <v>500000</v>
      </c>
      <c r="O207" s="87"/>
      <c r="P207" s="87"/>
      <c r="Q207" s="87"/>
      <c r="R207" s="87"/>
      <c r="S207" s="87"/>
      <c r="T207" s="229"/>
      <c r="U207" s="39">
        <f t="shared" si="132"/>
        <v>1500000</v>
      </c>
      <c r="V207" s="77"/>
      <c r="W207" s="77"/>
      <c r="X207" s="78">
        <f t="shared" si="125"/>
        <v>0</v>
      </c>
      <c r="Y207" s="77"/>
      <c r="Z207" s="78">
        <f t="shared" si="126"/>
        <v>0</v>
      </c>
      <c r="AA207" s="42">
        <f t="shared" si="127"/>
        <v>-1500000</v>
      </c>
      <c r="AB207" s="258"/>
      <c r="AC207" s="258"/>
      <c r="AD207" s="258"/>
    </row>
    <row r="208" spans="1:32" ht="48.75" thickBot="1" x14ac:dyDescent="0.3">
      <c r="E208" s="85">
        <v>4</v>
      </c>
      <c r="F208" s="168" t="s">
        <v>314</v>
      </c>
      <c r="G208" s="85">
        <v>3142</v>
      </c>
      <c r="H208" s="136">
        <v>1000000</v>
      </c>
      <c r="I208" s="140"/>
      <c r="J208" s="140"/>
      <c r="K208" s="138">
        <v>102000</v>
      </c>
      <c r="L208" s="138">
        <v>448000</v>
      </c>
      <c r="M208" s="139"/>
      <c r="N208" s="139"/>
      <c r="O208" s="167">
        <v>225000</v>
      </c>
      <c r="P208" s="167">
        <v>225000</v>
      </c>
      <c r="Q208" s="139"/>
      <c r="R208" s="87"/>
      <c r="S208" s="140"/>
      <c r="T208" s="239"/>
      <c r="U208" s="39">
        <f t="shared" si="132"/>
        <v>775000</v>
      </c>
      <c r="V208" s="77"/>
      <c r="W208" s="77"/>
      <c r="X208" s="78">
        <f t="shared" si="125"/>
        <v>0</v>
      </c>
      <c r="Y208" s="77"/>
      <c r="Z208" s="78">
        <f t="shared" si="126"/>
        <v>0</v>
      </c>
      <c r="AA208" s="42">
        <f t="shared" si="127"/>
        <v>-775000</v>
      </c>
      <c r="AB208" s="258"/>
      <c r="AC208" s="258"/>
      <c r="AD208" s="258"/>
    </row>
    <row r="209" spans="1:30" ht="15.75" thickBot="1" x14ac:dyDescent="0.3">
      <c r="E209" s="141"/>
      <c r="F209" s="141" t="s">
        <v>192</v>
      </c>
      <c r="G209" s="137"/>
      <c r="H209" s="136">
        <f>SUM(H205)</f>
        <v>60000</v>
      </c>
      <c r="I209" s="136">
        <f t="shared" ref="I209:AA209" si="133">SUM(I205)</f>
        <v>0</v>
      </c>
      <c r="J209" s="136">
        <f t="shared" si="133"/>
        <v>0</v>
      </c>
      <c r="K209" s="136">
        <f t="shared" si="133"/>
        <v>0</v>
      </c>
      <c r="L209" s="136">
        <f t="shared" si="133"/>
        <v>0</v>
      </c>
      <c r="M209" s="136">
        <f t="shared" si="133"/>
        <v>0</v>
      </c>
      <c r="N209" s="136">
        <f t="shared" si="133"/>
        <v>0</v>
      </c>
      <c r="O209" s="136">
        <f t="shared" si="133"/>
        <v>0</v>
      </c>
      <c r="P209" s="136">
        <f t="shared" si="133"/>
        <v>0</v>
      </c>
      <c r="Q209" s="136">
        <f t="shared" si="133"/>
        <v>0</v>
      </c>
      <c r="R209" s="136">
        <f t="shared" si="133"/>
        <v>60000</v>
      </c>
      <c r="S209" s="136">
        <f t="shared" si="133"/>
        <v>0</v>
      </c>
      <c r="T209" s="165">
        <f t="shared" si="133"/>
        <v>0</v>
      </c>
      <c r="U209" s="136">
        <f t="shared" si="133"/>
        <v>0</v>
      </c>
      <c r="V209" s="136">
        <f t="shared" si="133"/>
        <v>0</v>
      </c>
      <c r="W209" s="136">
        <f t="shared" si="133"/>
        <v>0</v>
      </c>
      <c r="X209" s="136">
        <f t="shared" si="133"/>
        <v>0</v>
      </c>
      <c r="Y209" s="136">
        <f t="shared" si="133"/>
        <v>0</v>
      </c>
      <c r="Z209" s="136">
        <f t="shared" si="133"/>
        <v>0</v>
      </c>
      <c r="AA209" s="136">
        <f t="shared" si="133"/>
        <v>0</v>
      </c>
      <c r="AB209" s="269"/>
      <c r="AC209" s="269"/>
      <c r="AD209" s="269"/>
    </row>
    <row r="210" spans="1:30" ht="15.75" thickBot="1" x14ac:dyDescent="0.3">
      <c r="E210" s="141"/>
      <c r="F210" s="141" t="s">
        <v>291</v>
      </c>
      <c r="G210" s="137"/>
      <c r="H210" s="136">
        <f>SUM(H206:H208)</f>
        <v>2750000</v>
      </c>
      <c r="I210" s="136">
        <f t="shared" ref="I210:AA210" si="134">SUM(I206:I208)</f>
        <v>0</v>
      </c>
      <c r="J210" s="136">
        <f t="shared" si="134"/>
        <v>0</v>
      </c>
      <c r="K210" s="136">
        <f t="shared" si="134"/>
        <v>152000</v>
      </c>
      <c r="L210" s="136">
        <f t="shared" si="134"/>
        <v>673000</v>
      </c>
      <c r="M210" s="136">
        <f t="shared" si="134"/>
        <v>725000</v>
      </c>
      <c r="N210" s="136">
        <f t="shared" si="134"/>
        <v>500000</v>
      </c>
      <c r="O210" s="136">
        <f t="shared" si="134"/>
        <v>225000</v>
      </c>
      <c r="P210" s="136">
        <f t="shared" si="134"/>
        <v>225000</v>
      </c>
      <c r="Q210" s="136">
        <f t="shared" si="134"/>
        <v>0</v>
      </c>
      <c r="R210" s="136">
        <f t="shared" si="134"/>
        <v>0</v>
      </c>
      <c r="S210" s="136">
        <f t="shared" si="134"/>
        <v>250000</v>
      </c>
      <c r="T210" s="165">
        <f t="shared" si="134"/>
        <v>0</v>
      </c>
      <c r="U210" s="136">
        <f t="shared" si="134"/>
        <v>2275000</v>
      </c>
      <c r="V210" s="136">
        <f t="shared" si="134"/>
        <v>0</v>
      </c>
      <c r="W210" s="136">
        <f t="shared" si="134"/>
        <v>0</v>
      </c>
      <c r="X210" s="136">
        <f t="shared" si="134"/>
        <v>0</v>
      </c>
      <c r="Y210" s="136">
        <f t="shared" si="134"/>
        <v>0</v>
      </c>
      <c r="Z210" s="136">
        <f t="shared" si="134"/>
        <v>0</v>
      </c>
      <c r="AA210" s="136">
        <f t="shared" si="134"/>
        <v>-2275000</v>
      </c>
      <c r="AB210" s="269"/>
      <c r="AC210" s="269"/>
      <c r="AD210" s="269"/>
    </row>
    <row r="211" spans="1:30" ht="15.75" thickBot="1" x14ac:dyDescent="0.3">
      <c r="E211" s="85"/>
      <c r="F211" s="79" t="s">
        <v>405</v>
      </c>
      <c r="G211" s="137"/>
      <c r="H211" s="80">
        <f>SUM(H209:H210)</f>
        <v>2810000</v>
      </c>
      <c r="I211" s="80">
        <f t="shared" ref="I211:AA211" si="135">SUM(I209:I210)</f>
        <v>0</v>
      </c>
      <c r="J211" s="80">
        <f t="shared" si="135"/>
        <v>0</v>
      </c>
      <c r="K211" s="80">
        <f t="shared" si="135"/>
        <v>152000</v>
      </c>
      <c r="L211" s="80">
        <f t="shared" si="135"/>
        <v>673000</v>
      </c>
      <c r="M211" s="80">
        <f t="shared" si="135"/>
        <v>725000</v>
      </c>
      <c r="N211" s="80">
        <f t="shared" si="135"/>
        <v>500000</v>
      </c>
      <c r="O211" s="80">
        <f t="shared" si="135"/>
        <v>225000</v>
      </c>
      <c r="P211" s="80">
        <f t="shared" si="135"/>
        <v>225000</v>
      </c>
      <c r="Q211" s="80">
        <f t="shared" si="135"/>
        <v>0</v>
      </c>
      <c r="R211" s="80">
        <f t="shared" si="135"/>
        <v>60000</v>
      </c>
      <c r="S211" s="80">
        <f t="shared" si="135"/>
        <v>250000</v>
      </c>
      <c r="T211" s="236">
        <f t="shared" si="135"/>
        <v>0</v>
      </c>
      <c r="U211" s="80">
        <f t="shared" si="135"/>
        <v>2275000</v>
      </c>
      <c r="V211" s="80">
        <f t="shared" si="135"/>
        <v>0</v>
      </c>
      <c r="W211" s="80">
        <f t="shared" si="135"/>
        <v>0</v>
      </c>
      <c r="X211" s="80">
        <f t="shared" si="135"/>
        <v>0</v>
      </c>
      <c r="Y211" s="80">
        <f t="shared" si="135"/>
        <v>0</v>
      </c>
      <c r="Z211" s="80">
        <f t="shared" si="135"/>
        <v>0</v>
      </c>
      <c r="AA211" s="80">
        <f t="shared" si="135"/>
        <v>-2275000</v>
      </c>
      <c r="AB211" s="268"/>
      <c r="AC211" s="268"/>
      <c r="AD211" s="268"/>
    </row>
    <row r="212" spans="1:30" ht="26.25" customHeight="1" thickTop="1" thickBot="1" x14ac:dyDescent="0.3">
      <c r="A212" s="3" t="s">
        <v>0</v>
      </c>
      <c r="B212" s="3" t="s">
        <v>1</v>
      </c>
      <c r="C212" s="3"/>
      <c r="D212" s="4" t="s">
        <v>3</v>
      </c>
      <c r="E212" s="83">
        <v>3117340</v>
      </c>
      <c r="F212" s="445" t="s">
        <v>378</v>
      </c>
      <c r="G212" s="446"/>
      <c r="H212" s="7" t="s">
        <v>155</v>
      </c>
      <c r="I212" s="8" t="s">
        <v>7</v>
      </c>
      <c r="J212" s="9" t="s">
        <v>8</v>
      </c>
      <c r="K212" s="9" t="s">
        <v>9</v>
      </c>
      <c r="L212" s="8" t="s">
        <v>10</v>
      </c>
      <c r="M212" s="8" t="s">
        <v>11</v>
      </c>
      <c r="N212" s="10" t="s">
        <v>12</v>
      </c>
      <c r="O212" s="11" t="s">
        <v>13</v>
      </c>
      <c r="P212" s="12" t="s">
        <v>14</v>
      </c>
      <c r="Q212" s="12" t="s">
        <v>15</v>
      </c>
      <c r="R212" s="13" t="s">
        <v>16</v>
      </c>
      <c r="S212" s="8" t="s">
        <v>17</v>
      </c>
      <c r="T212" s="221" t="s">
        <v>18</v>
      </c>
      <c r="U212" s="7" t="s">
        <v>426</v>
      </c>
      <c r="V212" s="7" t="s">
        <v>19</v>
      </c>
      <c r="W212" s="7" t="s">
        <v>425</v>
      </c>
      <c r="X212" s="7" t="s">
        <v>21</v>
      </c>
      <c r="Y212" s="5" t="s">
        <v>22</v>
      </c>
      <c r="Z212" s="14" t="s">
        <v>23</v>
      </c>
      <c r="AA212" s="14" t="s">
        <v>24</v>
      </c>
      <c r="AB212" s="255"/>
      <c r="AC212" s="255"/>
      <c r="AD212" s="255"/>
    </row>
    <row r="213" spans="1:30" ht="91.5" thickTop="1" thickBot="1" x14ac:dyDescent="0.3">
      <c r="E213" s="85">
        <v>1</v>
      </c>
      <c r="F213" s="86" t="s">
        <v>379</v>
      </c>
      <c r="G213" s="85">
        <v>3143</v>
      </c>
      <c r="H213" s="136">
        <f>SUM(I213:T213)</f>
        <v>300000</v>
      </c>
      <c r="I213" s="200"/>
      <c r="J213" s="200"/>
      <c r="K213" s="200"/>
      <c r="L213" s="200"/>
      <c r="M213" s="200">
        <v>100000</v>
      </c>
      <c r="N213" s="200">
        <v>100000</v>
      </c>
      <c r="O213" s="200">
        <v>100000</v>
      </c>
      <c r="P213" s="200"/>
      <c r="Q213" s="200"/>
      <c r="R213" s="200"/>
      <c r="S213" s="200"/>
      <c r="T213" s="240"/>
      <c r="U213" s="39">
        <f>I213+J213+K213+L213+M213+N213+O213</f>
        <v>300000</v>
      </c>
      <c r="V213" s="77"/>
      <c r="W213" s="77"/>
      <c r="X213" s="78">
        <f t="shared" ref="X213:X215" si="136">W213-V213</f>
        <v>0</v>
      </c>
      <c r="Y213" s="77"/>
      <c r="Z213" s="78">
        <f t="shared" ref="Z213:Z215" si="137">Y213-V213</f>
        <v>0</v>
      </c>
      <c r="AA213" s="42">
        <f t="shared" ref="AA213:AA215" si="138">Y213-U213</f>
        <v>-300000</v>
      </c>
      <c r="AB213" s="258"/>
      <c r="AC213" s="258"/>
      <c r="AD213" s="258"/>
    </row>
    <row r="214" spans="1:30" ht="77.25" thickBot="1" x14ac:dyDescent="0.3">
      <c r="E214" s="85">
        <v>2</v>
      </c>
      <c r="F214" s="213" t="s">
        <v>410</v>
      </c>
      <c r="G214" s="85">
        <v>3143</v>
      </c>
      <c r="H214" s="136">
        <f t="shared" ref="H214:H215" si="139">SUM(I214:T214)</f>
        <v>315000</v>
      </c>
      <c r="I214" s="200"/>
      <c r="J214" s="200"/>
      <c r="K214" s="200"/>
      <c r="L214" s="200"/>
      <c r="M214" s="200">
        <v>315000</v>
      </c>
      <c r="N214" s="200"/>
      <c r="O214" s="200"/>
      <c r="P214" s="200"/>
      <c r="Q214" s="200"/>
      <c r="R214" s="200"/>
      <c r="S214" s="200"/>
      <c r="T214" s="240"/>
      <c r="U214" s="39">
        <f t="shared" ref="U214:U215" si="140">I214+J214+K214+L214+M214+N214+O214</f>
        <v>315000</v>
      </c>
      <c r="V214" s="77"/>
      <c r="W214" s="77"/>
      <c r="X214" s="78">
        <f t="shared" si="136"/>
        <v>0</v>
      </c>
      <c r="Y214" s="77"/>
      <c r="Z214" s="78">
        <f t="shared" si="137"/>
        <v>0</v>
      </c>
      <c r="AA214" s="42">
        <f t="shared" si="138"/>
        <v>-315000</v>
      </c>
      <c r="AB214" s="258"/>
      <c r="AC214" s="258"/>
      <c r="AD214" s="258"/>
    </row>
    <row r="215" spans="1:30" ht="90" thickBot="1" x14ac:dyDescent="0.3">
      <c r="E215" s="85">
        <v>3</v>
      </c>
      <c r="F215" s="213" t="s">
        <v>411</v>
      </c>
      <c r="G215" s="85">
        <v>3143</v>
      </c>
      <c r="H215" s="136">
        <f t="shared" si="139"/>
        <v>500000</v>
      </c>
      <c r="I215" s="200"/>
      <c r="J215" s="200"/>
      <c r="K215" s="200"/>
      <c r="L215" s="200"/>
      <c r="M215" s="200">
        <v>200000</v>
      </c>
      <c r="N215" s="200"/>
      <c r="O215" s="200"/>
      <c r="P215" s="200"/>
      <c r="Q215" s="200">
        <v>300000</v>
      </c>
      <c r="R215" s="200"/>
      <c r="S215" s="200"/>
      <c r="T215" s="240"/>
      <c r="U215" s="39">
        <f t="shared" si="140"/>
        <v>200000</v>
      </c>
      <c r="V215" s="77"/>
      <c r="W215" s="77"/>
      <c r="X215" s="78">
        <f t="shared" si="136"/>
        <v>0</v>
      </c>
      <c r="Y215" s="77"/>
      <c r="Z215" s="78">
        <f t="shared" si="137"/>
        <v>0</v>
      </c>
      <c r="AA215" s="42">
        <f t="shared" si="138"/>
        <v>-200000</v>
      </c>
      <c r="AB215" s="258"/>
      <c r="AC215" s="258"/>
      <c r="AD215" s="258"/>
    </row>
    <row r="216" spans="1:30" ht="15.75" thickBot="1" x14ac:dyDescent="0.3">
      <c r="E216" s="141"/>
      <c r="F216" s="79" t="s">
        <v>377</v>
      </c>
      <c r="G216" s="137"/>
      <c r="H216" s="80">
        <f>SUM(H213:H215)</f>
        <v>1115000</v>
      </c>
      <c r="I216" s="80">
        <f t="shared" ref="I216:AA216" si="141">SUM(I213:I215)</f>
        <v>0</v>
      </c>
      <c r="J216" s="80">
        <f t="shared" si="141"/>
        <v>0</v>
      </c>
      <c r="K216" s="80">
        <f t="shared" si="141"/>
        <v>0</v>
      </c>
      <c r="L216" s="80">
        <f t="shared" si="141"/>
        <v>0</v>
      </c>
      <c r="M216" s="80">
        <f t="shared" si="141"/>
        <v>615000</v>
      </c>
      <c r="N216" s="80">
        <f t="shared" si="141"/>
        <v>100000</v>
      </c>
      <c r="O216" s="80">
        <f t="shared" si="141"/>
        <v>100000</v>
      </c>
      <c r="P216" s="80">
        <f t="shared" si="141"/>
        <v>0</v>
      </c>
      <c r="Q216" s="80">
        <f t="shared" si="141"/>
        <v>300000</v>
      </c>
      <c r="R216" s="80">
        <f t="shared" si="141"/>
        <v>0</v>
      </c>
      <c r="S216" s="80">
        <f t="shared" si="141"/>
        <v>0</v>
      </c>
      <c r="T216" s="236">
        <f t="shared" si="141"/>
        <v>0</v>
      </c>
      <c r="U216" s="80">
        <f t="shared" si="141"/>
        <v>815000</v>
      </c>
      <c r="V216" s="80">
        <f t="shared" si="141"/>
        <v>0</v>
      </c>
      <c r="W216" s="80">
        <f t="shared" si="141"/>
        <v>0</v>
      </c>
      <c r="X216" s="80">
        <f t="shared" si="141"/>
        <v>0</v>
      </c>
      <c r="Y216" s="80">
        <f t="shared" si="141"/>
        <v>0</v>
      </c>
      <c r="Z216" s="80">
        <f t="shared" si="141"/>
        <v>0</v>
      </c>
      <c r="AA216" s="80">
        <f t="shared" si="141"/>
        <v>-815000</v>
      </c>
      <c r="AB216" s="268"/>
      <c r="AC216" s="268"/>
      <c r="AD216" s="268"/>
    </row>
    <row r="217" spans="1:30" ht="26.25" customHeight="1" thickTop="1" thickBot="1" x14ac:dyDescent="0.3">
      <c r="A217" s="3" t="s">
        <v>0</v>
      </c>
      <c r="B217" s="3" t="s">
        <v>1</v>
      </c>
      <c r="C217" s="3"/>
      <c r="D217" s="4" t="s">
        <v>3</v>
      </c>
      <c r="E217" s="83">
        <v>3117370</v>
      </c>
      <c r="F217" s="445" t="s">
        <v>168</v>
      </c>
      <c r="G217" s="446"/>
      <c r="H217" s="7" t="s">
        <v>155</v>
      </c>
      <c r="I217" s="8" t="s">
        <v>7</v>
      </c>
      <c r="J217" s="9" t="s">
        <v>8</v>
      </c>
      <c r="K217" s="9" t="s">
        <v>9</v>
      </c>
      <c r="L217" s="8" t="s">
        <v>10</v>
      </c>
      <c r="M217" s="8" t="s">
        <v>11</v>
      </c>
      <c r="N217" s="10" t="s">
        <v>12</v>
      </c>
      <c r="O217" s="11" t="s">
        <v>13</v>
      </c>
      <c r="P217" s="12" t="s">
        <v>14</v>
      </c>
      <c r="Q217" s="12" t="s">
        <v>15</v>
      </c>
      <c r="R217" s="13" t="s">
        <v>16</v>
      </c>
      <c r="S217" s="8" t="s">
        <v>17</v>
      </c>
      <c r="T217" s="221" t="s">
        <v>18</v>
      </c>
      <c r="U217" s="7" t="s">
        <v>426</v>
      </c>
      <c r="V217" s="7" t="s">
        <v>19</v>
      </c>
      <c r="W217" s="7" t="s">
        <v>425</v>
      </c>
      <c r="X217" s="7" t="s">
        <v>21</v>
      </c>
      <c r="Y217" s="5" t="s">
        <v>22</v>
      </c>
      <c r="Z217" s="14" t="s">
        <v>23</v>
      </c>
      <c r="AA217" s="14" t="s">
        <v>24</v>
      </c>
      <c r="AB217" s="255"/>
      <c r="AC217" s="255"/>
      <c r="AD217" s="255"/>
    </row>
    <row r="218" spans="1:30" ht="17.25" thickTop="1" thickBot="1" x14ac:dyDescent="0.3">
      <c r="E218" s="73"/>
      <c r="F218" s="84" t="s">
        <v>169</v>
      </c>
      <c r="G218" s="85"/>
    </row>
    <row r="219" spans="1:30" ht="34.5" thickBot="1" x14ac:dyDescent="0.3">
      <c r="A219" s="43" t="s">
        <v>241</v>
      </c>
      <c r="B219" s="124">
        <v>44911</v>
      </c>
      <c r="C219" s="43"/>
      <c r="D219" s="43" t="s">
        <v>240</v>
      </c>
      <c r="E219" s="85">
        <v>1</v>
      </c>
      <c r="F219" s="86" t="s">
        <v>170</v>
      </c>
      <c r="G219" s="85">
        <v>3122</v>
      </c>
      <c r="H219" s="68">
        <f>SUM(I219:T219)</f>
        <v>860000</v>
      </c>
      <c r="I219" s="59"/>
      <c r="J219" s="59"/>
      <c r="K219" s="58">
        <v>860000</v>
      </c>
      <c r="L219" s="59"/>
      <c r="M219" s="59"/>
      <c r="N219" s="59"/>
      <c r="O219" s="59"/>
      <c r="P219" s="59"/>
      <c r="Q219" s="59"/>
      <c r="R219" s="59"/>
      <c r="S219" s="59"/>
      <c r="T219" s="229"/>
      <c r="U219" s="39">
        <f>I219+J219+K219+L219+M219+N219+O219</f>
        <v>860000</v>
      </c>
      <c r="V219" s="64"/>
      <c r="W219" s="64"/>
      <c r="X219" s="41">
        <f t="shared" ref="X219:X246" si="142">W219-V219</f>
        <v>0</v>
      </c>
      <c r="Y219" s="64"/>
      <c r="Z219" s="41">
        <f t="shared" ref="Z219:Z246" si="143">Y219-V219</f>
        <v>0</v>
      </c>
      <c r="AA219" s="42">
        <f t="shared" ref="AA219:AA246" si="144">Y219-U219</f>
        <v>-860000</v>
      </c>
      <c r="AB219" s="258"/>
      <c r="AC219" s="258"/>
      <c r="AD219" s="258"/>
    </row>
    <row r="220" spans="1:30" ht="79.5" thickBot="1" x14ac:dyDescent="0.3">
      <c r="E220" s="85">
        <f>E219+1</f>
        <v>2</v>
      </c>
      <c r="F220" s="184" t="s">
        <v>171</v>
      </c>
      <c r="G220" s="85">
        <v>3122</v>
      </c>
      <c r="H220" s="68">
        <f t="shared" ref="H220:H226" si="145">SUM(I220:T220)</f>
        <v>100000</v>
      </c>
      <c r="I220" s="217">
        <v>50000</v>
      </c>
      <c r="J220" s="217"/>
      <c r="K220" s="217">
        <v>50000</v>
      </c>
      <c r="L220" s="217"/>
      <c r="M220" s="217"/>
      <c r="N220" s="217"/>
      <c r="O220" s="217"/>
      <c r="P220" s="217"/>
      <c r="Q220" s="217"/>
      <c r="R220" s="217"/>
      <c r="S220" s="217"/>
      <c r="T220" s="241"/>
      <c r="U220" s="39">
        <f t="shared" ref="U220:U246" si="146">I220+J220+K220+L220+M220+N220+O220</f>
        <v>100000</v>
      </c>
      <c r="V220" s="64"/>
      <c r="W220" s="64"/>
      <c r="X220" s="41">
        <f t="shared" si="142"/>
        <v>0</v>
      </c>
      <c r="Y220" s="64"/>
      <c r="Z220" s="41">
        <f t="shared" si="143"/>
        <v>0</v>
      </c>
      <c r="AA220" s="42">
        <f t="shared" si="144"/>
        <v>-100000</v>
      </c>
      <c r="AB220" s="258"/>
      <c r="AC220" s="258"/>
      <c r="AD220" s="258"/>
    </row>
    <row r="221" spans="1:30" ht="34.5" thickBot="1" x14ac:dyDescent="0.3">
      <c r="A221" t="s">
        <v>244</v>
      </c>
      <c r="D221" t="s">
        <v>253</v>
      </c>
      <c r="E221" s="85">
        <f t="shared" ref="E221:E225" si="147">E220+1</f>
        <v>3</v>
      </c>
      <c r="F221" s="86" t="s">
        <v>172</v>
      </c>
      <c r="G221" s="85">
        <v>3122</v>
      </c>
      <c r="H221" s="68">
        <f t="shared" si="145"/>
        <v>1150000</v>
      </c>
      <c r="I221" s="59"/>
      <c r="J221" s="59"/>
      <c r="K221" s="58">
        <v>50000</v>
      </c>
      <c r="L221" s="59"/>
      <c r="M221" s="58">
        <v>1100000</v>
      </c>
      <c r="N221" s="193"/>
      <c r="O221" s="59"/>
      <c r="P221" s="59"/>
      <c r="Q221" s="59"/>
      <c r="R221" s="59"/>
      <c r="S221" s="59"/>
      <c r="T221" s="229"/>
      <c r="U221" s="39">
        <f t="shared" si="146"/>
        <v>1150000</v>
      </c>
      <c r="V221" s="64"/>
      <c r="W221" s="64"/>
      <c r="X221" s="41">
        <f t="shared" si="142"/>
        <v>0</v>
      </c>
      <c r="Y221" s="64">
        <f>8590</f>
        <v>8590</v>
      </c>
      <c r="Z221" s="41">
        <f t="shared" si="143"/>
        <v>8590</v>
      </c>
      <c r="AA221" s="42">
        <f t="shared" si="144"/>
        <v>-1141410</v>
      </c>
      <c r="AB221" s="258"/>
      <c r="AC221" s="258"/>
      <c r="AD221" s="258"/>
    </row>
    <row r="222" spans="1:30" ht="23.25" thickBot="1" x14ac:dyDescent="0.3">
      <c r="E222" s="85">
        <f t="shared" si="147"/>
        <v>4</v>
      </c>
      <c r="F222" s="194" t="s">
        <v>173</v>
      </c>
      <c r="G222" s="85">
        <v>3122</v>
      </c>
      <c r="H222" s="68">
        <f t="shared" si="145"/>
        <v>470000</v>
      </c>
      <c r="I222" s="59"/>
      <c r="J222" s="59"/>
      <c r="K222" s="58">
        <v>50000</v>
      </c>
      <c r="L222" s="59"/>
      <c r="M222" s="59"/>
      <c r="N222" s="59"/>
      <c r="O222" s="59"/>
      <c r="P222" s="58">
        <v>420000</v>
      </c>
      <c r="Q222" s="59"/>
      <c r="R222" s="59"/>
      <c r="S222" s="59"/>
      <c r="T222" s="229"/>
      <c r="U222" s="39">
        <f t="shared" si="146"/>
        <v>50000</v>
      </c>
      <c r="V222" s="64"/>
      <c r="W222" s="64"/>
      <c r="X222" s="41">
        <f t="shared" si="142"/>
        <v>0</v>
      </c>
      <c r="Y222" s="64"/>
      <c r="Z222" s="41">
        <f t="shared" si="143"/>
        <v>0</v>
      </c>
      <c r="AA222" s="42">
        <f t="shared" si="144"/>
        <v>-50000</v>
      </c>
      <c r="AB222" s="258"/>
      <c r="AC222" s="258"/>
      <c r="AD222" s="258"/>
    </row>
    <row r="223" spans="1:30" ht="45.75" thickBot="1" x14ac:dyDescent="0.3">
      <c r="E223" s="85">
        <f t="shared" si="147"/>
        <v>5</v>
      </c>
      <c r="F223" s="194" t="s">
        <v>174</v>
      </c>
      <c r="G223" s="85">
        <v>3122</v>
      </c>
      <c r="H223" s="68">
        <f t="shared" si="145"/>
        <v>1200000</v>
      </c>
      <c r="I223" s="59"/>
      <c r="J223" s="59"/>
      <c r="K223" s="58">
        <v>80000</v>
      </c>
      <c r="L223" s="59"/>
      <c r="M223" s="59"/>
      <c r="N223" s="59"/>
      <c r="O223" s="59"/>
      <c r="P223" s="59"/>
      <c r="Q223" s="58">
        <v>1120000</v>
      </c>
      <c r="R223" s="59"/>
      <c r="S223" s="59"/>
      <c r="T223" s="229"/>
      <c r="U223" s="39">
        <f t="shared" si="146"/>
        <v>80000</v>
      </c>
      <c r="V223" s="64"/>
      <c r="W223" s="64"/>
      <c r="X223" s="41">
        <f t="shared" si="142"/>
        <v>0</v>
      </c>
      <c r="Y223" s="64"/>
      <c r="Z223" s="41">
        <f t="shared" si="143"/>
        <v>0</v>
      </c>
      <c r="AA223" s="42">
        <f t="shared" si="144"/>
        <v>-80000</v>
      </c>
      <c r="AB223" s="258"/>
      <c r="AC223" s="258"/>
      <c r="AD223" s="258"/>
    </row>
    <row r="224" spans="1:30" ht="45.75" thickBot="1" x14ac:dyDescent="0.3">
      <c r="E224" s="85">
        <f t="shared" si="147"/>
        <v>6</v>
      </c>
      <c r="F224" s="194" t="s">
        <v>175</v>
      </c>
      <c r="G224" s="85">
        <v>3122</v>
      </c>
      <c r="H224" s="68">
        <f t="shared" si="145"/>
        <v>464000</v>
      </c>
      <c r="I224" s="58">
        <v>64000</v>
      </c>
      <c r="J224" s="59"/>
      <c r="K224" s="59"/>
      <c r="L224" s="59"/>
      <c r="M224" s="59"/>
      <c r="N224" s="59"/>
      <c r="O224" s="59"/>
      <c r="P224" s="58">
        <v>400000</v>
      </c>
      <c r="Q224" s="59"/>
      <c r="R224" s="59"/>
      <c r="S224" s="59"/>
      <c r="T224" s="229"/>
      <c r="U224" s="39">
        <f t="shared" si="146"/>
        <v>64000</v>
      </c>
      <c r="V224" s="64"/>
      <c r="W224" s="64"/>
      <c r="X224" s="41">
        <f t="shared" si="142"/>
        <v>0</v>
      </c>
      <c r="Y224" s="126"/>
      <c r="Z224" s="41">
        <f t="shared" si="143"/>
        <v>0</v>
      </c>
      <c r="AA224" s="42">
        <f t="shared" si="144"/>
        <v>-64000</v>
      </c>
      <c r="AB224" s="258"/>
      <c r="AC224" s="258"/>
      <c r="AD224" s="258"/>
    </row>
    <row r="225" spans="1:30" ht="45.75" thickBot="1" x14ac:dyDescent="0.3">
      <c r="D225" t="s">
        <v>355</v>
      </c>
      <c r="E225" s="85">
        <f t="shared" si="147"/>
        <v>7</v>
      </c>
      <c r="F225" s="192" t="s">
        <v>176</v>
      </c>
      <c r="G225" s="85">
        <v>3122</v>
      </c>
      <c r="H225" s="68">
        <f t="shared" si="145"/>
        <v>100000</v>
      </c>
      <c r="I225" s="217"/>
      <c r="J225" s="217"/>
      <c r="K225" s="217">
        <v>50000</v>
      </c>
      <c r="L225" s="217"/>
      <c r="M225" s="217"/>
      <c r="N225" s="217"/>
      <c r="O225" s="217"/>
      <c r="P225" s="217">
        <v>50000</v>
      </c>
      <c r="Q225" s="217"/>
      <c r="R225" s="217"/>
      <c r="S225" s="217"/>
      <c r="T225" s="241"/>
      <c r="U225" s="39">
        <f t="shared" si="146"/>
        <v>50000</v>
      </c>
      <c r="V225" s="64"/>
      <c r="W225" s="64"/>
      <c r="X225" s="41">
        <f t="shared" si="142"/>
        <v>0</v>
      </c>
      <c r="Y225" s="126">
        <f>7613.18</f>
        <v>7613.18</v>
      </c>
      <c r="Z225" s="41">
        <f t="shared" si="143"/>
        <v>7613.18</v>
      </c>
      <c r="AA225" s="42">
        <f t="shared" si="144"/>
        <v>-42386.82</v>
      </c>
      <c r="AB225" s="258"/>
      <c r="AC225" s="258"/>
      <c r="AD225" s="258"/>
    </row>
    <row r="226" spans="1:30" ht="45.75" thickBot="1" x14ac:dyDescent="0.3">
      <c r="E226" s="85">
        <v>8</v>
      </c>
      <c r="F226" s="192" t="s">
        <v>359</v>
      </c>
      <c r="G226" s="85">
        <v>3122</v>
      </c>
      <c r="H226" s="68">
        <f t="shared" si="145"/>
        <v>100000</v>
      </c>
      <c r="I226" s="59"/>
      <c r="J226" s="59"/>
      <c r="K226" s="59"/>
      <c r="L226" s="59"/>
      <c r="M226" s="59"/>
      <c r="N226" s="58">
        <v>100000</v>
      </c>
      <c r="O226" s="59"/>
      <c r="P226" s="59"/>
      <c r="Q226" s="59"/>
      <c r="R226" s="59"/>
      <c r="S226" s="59"/>
      <c r="T226" s="229"/>
      <c r="U226" s="39">
        <f t="shared" si="146"/>
        <v>100000</v>
      </c>
      <c r="V226" s="64"/>
      <c r="W226" s="64"/>
      <c r="X226" s="41">
        <f t="shared" si="142"/>
        <v>0</v>
      </c>
      <c r="Y226" s="126"/>
      <c r="Z226" s="41">
        <f t="shared" si="143"/>
        <v>0</v>
      </c>
      <c r="AA226" s="42">
        <f t="shared" si="144"/>
        <v>-100000</v>
      </c>
      <c r="AB226" s="258"/>
      <c r="AC226" s="258"/>
      <c r="AD226" s="258"/>
    </row>
    <row r="227" spans="1:30" ht="34.5" thickBot="1" x14ac:dyDescent="0.3">
      <c r="E227" s="85">
        <v>9</v>
      </c>
      <c r="F227" s="194" t="s">
        <v>317</v>
      </c>
      <c r="G227" s="85">
        <v>3122</v>
      </c>
      <c r="H227" s="169">
        <v>6047</v>
      </c>
      <c r="I227" s="59"/>
      <c r="J227" s="59"/>
      <c r="K227" s="59"/>
      <c r="L227" s="59"/>
      <c r="M227" s="59"/>
      <c r="N227" s="58">
        <v>2047</v>
      </c>
      <c r="O227" s="59"/>
      <c r="P227" s="59"/>
      <c r="Q227" s="59"/>
      <c r="R227" s="59"/>
      <c r="S227" s="58">
        <v>4000</v>
      </c>
      <c r="T227" s="229"/>
      <c r="U227" s="39">
        <f t="shared" si="146"/>
        <v>2047</v>
      </c>
      <c r="V227" s="64"/>
      <c r="W227" s="64"/>
      <c r="X227" s="41">
        <f t="shared" si="142"/>
        <v>0</v>
      </c>
      <c r="Y227" s="126"/>
      <c r="Z227" s="41">
        <f t="shared" si="143"/>
        <v>0</v>
      </c>
      <c r="AA227" s="42">
        <f t="shared" si="144"/>
        <v>-2047</v>
      </c>
      <c r="AB227" s="258"/>
      <c r="AC227" s="258"/>
      <c r="AD227" s="258"/>
    </row>
    <row r="228" spans="1:30" ht="23.25" thickBot="1" x14ac:dyDescent="0.3">
      <c r="E228" s="85">
        <v>10</v>
      </c>
      <c r="F228" s="194" t="s">
        <v>318</v>
      </c>
      <c r="G228" s="85">
        <v>3122</v>
      </c>
      <c r="H228" s="169">
        <v>6503</v>
      </c>
      <c r="I228" s="59"/>
      <c r="J228" s="59"/>
      <c r="K228" s="59"/>
      <c r="L228" s="59"/>
      <c r="M228" s="59"/>
      <c r="N228" s="58">
        <v>6503</v>
      </c>
      <c r="O228" s="59"/>
      <c r="P228" s="59"/>
      <c r="Q228" s="59"/>
      <c r="R228" s="59"/>
      <c r="S228" s="59"/>
      <c r="T228" s="229"/>
      <c r="U228" s="39">
        <f t="shared" si="146"/>
        <v>6503</v>
      </c>
      <c r="V228" s="64"/>
      <c r="W228" s="64"/>
      <c r="X228" s="41">
        <f t="shared" si="142"/>
        <v>0</v>
      </c>
      <c r="Y228" s="126"/>
      <c r="Z228" s="41">
        <f t="shared" si="143"/>
        <v>0</v>
      </c>
      <c r="AA228" s="42">
        <f t="shared" si="144"/>
        <v>-6503</v>
      </c>
      <c r="AB228" s="258"/>
      <c r="AC228" s="258"/>
      <c r="AD228" s="258"/>
    </row>
    <row r="229" spans="1:30" ht="34.5" thickBot="1" x14ac:dyDescent="0.3">
      <c r="E229" s="85">
        <v>11</v>
      </c>
      <c r="F229" s="194" t="s">
        <v>319</v>
      </c>
      <c r="G229" s="85">
        <v>3122</v>
      </c>
      <c r="H229" s="169">
        <v>5063</v>
      </c>
      <c r="I229" s="59"/>
      <c r="J229" s="59"/>
      <c r="K229" s="59"/>
      <c r="L229" s="59"/>
      <c r="M229" s="59"/>
      <c r="N229" s="58">
        <v>5063</v>
      </c>
      <c r="O229" s="59"/>
      <c r="P229" s="59"/>
      <c r="Q229" s="59"/>
      <c r="R229" s="59"/>
      <c r="S229" s="59"/>
      <c r="T229" s="229"/>
      <c r="U229" s="39">
        <f t="shared" si="146"/>
        <v>5063</v>
      </c>
      <c r="V229" s="64"/>
      <c r="W229" s="64"/>
      <c r="X229" s="41">
        <f t="shared" si="142"/>
        <v>0</v>
      </c>
      <c r="Y229" s="126"/>
      <c r="Z229" s="41">
        <f t="shared" si="143"/>
        <v>0</v>
      </c>
      <c r="AA229" s="42">
        <f t="shared" si="144"/>
        <v>-5063</v>
      </c>
      <c r="AB229" s="258"/>
      <c r="AC229" s="258"/>
      <c r="AD229" s="258"/>
    </row>
    <row r="230" spans="1:30" ht="57" thickBot="1" x14ac:dyDescent="0.3">
      <c r="E230" s="85">
        <v>12</v>
      </c>
      <c r="F230" s="194" t="s">
        <v>320</v>
      </c>
      <c r="G230" s="133">
        <v>3132</v>
      </c>
      <c r="H230" s="169">
        <v>500000</v>
      </c>
      <c r="I230" s="58">
        <v>50000</v>
      </c>
      <c r="J230" s="58">
        <v>450000</v>
      </c>
      <c r="K230" s="59"/>
      <c r="L230" s="59"/>
      <c r="M230" s="59"/>
      <c r="N230" s="59"/>
      <c r="O230" s="59"/>
      <c r="P230" s="59"/>
      <c r="Q230" s="59"/>
      <c r="R230" s="59"/>
      <c r="S230" s="59"/>
      <c r="T230" s="229"/>
      <c r="U230" s="39">
        <f t="shared" si="146"/>
        <v>500000</v>
      </c>
      <c r="V230" s="64"/>
      <c r="W230" s="64"/>
      <c r="X230" s="41">
        <f t="shared" si="142"/>
        <v>0</v>
      </c>
      <c r="Y230" s="126"/>
      <c r="Z230" s="41">
        <f t="shared" si="143"/>
        <v>0</v>
      </c>
      <c r="AA230" s="42">
        <f t="shared" si="144"/>
        <v>-500000</v>
      </c>
      <c r="AB230" s="258"/>
      <c r="AC230" s="258"/>
      <c r="AD230" s="258"/>
    </row>
    <row r="231" spans="1:30" ht="57" thickBot="1" x14ac:dyDescent="0.3">
      <c r="E231" s="85"/>
      <c r="F231" s="194" t="s">
        <v>321</v>
      </c>
      <c r="G231" s="133">
        <v>3132</v>
      </c>
      <c r="H231" s="169">
        <v>250000</v>
      </c>
      <c r="I231" s="59"/>
      <c r="J231" s="58">
        <v>50000</v>
      </c>
      <c r="K231" s="59"/>
      <c r="L231" s="58">
        <v>200000</v>
      </c>
      <c r="M231" s="59"/>
      <c r="N231" s="59"/>
      <c r="O231" s="59"/>
      <c r="P231" s="59"/>
      <c r="Q231" s="59"/>
      <c r="R231" s="59"/>
      <c r="S231" s="59"/>
      <c r="T231" s="229"/>
      <c r="U231" s="39">
        <f t="shared" si="146"/>
        <v>250000</v>
      </c>
      <c r="V231" s="64"/>
      <c r="W231" s="64"/>
      <c r="X231" s="41">
        <f t="shared" si="142"/>
        <v>0</v>
      </c>
      <c r="Y231" s="126"/>
      <c r="Z231" s="41">
        <f t="shared" si="143"/>
        <v>0</v>
      </c>
      <c r="AA231" s="42">
        <f t="shared" si="144"/>
        <v>-250000</v>
      </c>
      <c r="AB231" s="258"/>
      <c r="AC231" s="258"/>
      <c r="AD231" s="258"/>
    </row>
    <row r="232" spans="1:30" ht="57" thickBot="1" x14ac:dyDescent="0.3">
      <c r="E232" s="85"/>
      <c r="F232" s="194" t="s">
        <v>322</v>
      </c>
      <c r="G232" s="133">
        <v>3132</v>
      </c>
      <c r="H232" s="169">
        <v>250000</v>
      </c>
      <c r="I232" s="59"/>
      <c r="J232" s="58">
        <v>50000</v>
      </c>
      <c r="K232" s="58">
        <v>200000</v>
      </c>
      <c r="L232" s="59"/>
      <c r="M232" s="59"/>
      <c r="N232" s="59"/>
      <c r="O232" s="59"/>
      <c r="P232" s="59"/>
      <c r="Q232" s="59"/>
      <c r="R232" s="59"/>
      <c r="S232" s="59"/>
      <c r="T232" s="229"/>
      <c r="U232" s="39">
        <f t="shared" si="146"/>
        <v>250000</v>
      </c>
      <c r="V232" s="64"/>
      <c r="W232" s="64"/>
      <c r="X232" s="41">
        <f t="shared" si="142"/>
        <v>0</v>
      </c>
      <c r="Y232" s="126"/>
      <c r="Z232" s="41">
        <f t="shared" si="143"/>
        <v>0</v>
      </c>
      <c r="AA232" s="42">
        <f t="shared" si="144"/>
        <v>-250000</v>
      </c>
      <c r="AB232" s="258"/>
      <c r="AC232" s="258"/>
      <c r="AD232" s="258"/>
    </row>
    <row r="233" spans="1:30" ht="57" thickBot="1" x14ac:dyDescent="0.3">
      <c r="E233" s="85"/>
      <c r="F233" s="194" t="s">
        <v>323</v>
      </c>
      <c r="G233" s="133">
        <v>3132</v>
      </c>
      <c r="H233" s="169">
        <v>100000</v>
      </c>
      <c r="I233" s="59"/>
      <c r="J233" s="58">
        <v>76000</v>
      </c>
      <c r="K233" s="58">
        <v>24000</v>
      </c>
      <c r="L233" s="59"/>
      <c r="M233" s="59"/>
      <c r="N233" s="59"/>
      <c r="O233" s="59"/>
      <c r="P233" s="59"/>
      <c r="Q233" s="59"/>
      <c r="R233" s="59"/>
      <c r="S233" s="59"/>
      <c r="T233" s="229"/>
      <c r="U233" s="39">
        <f t="shared" si="146"/>
        <v>100000</v>
      </c>
      <c r="V233" s="64"/>
      <c r="W233" s="64"/>
      <c r="X233" s="41">
        <f t="shared" si="142"/>
        <v>0</v>
      </c>
      <c r="Y233" s="126"/>
      <c r="Z233" s="41">
        <f t="shared" si="143"/>
        <v>0</v>
      </c>
      <c r="AA233" s="42">
        <f t="shared" si="144"/>
        <v>-100000</v>
      </c>
      <c r="AB233" s="258"/>
      <c r="AC233" s="258"/>
      <c r="AD233" s="258"/>
    </row>
    <row r="234" spans="1:30" ht="34.5" thickBot="1" x14ac:dyDescent="0.3">
      <c r="E234" s="85"/>
      <c r="F234" s="194" t="s">
        <v>324</v>
      </c>
      <c r="G234" s="133">
        <v>3132</v>
      </c>
      <c r="H234" s="169">
        <v>1500000</v>
      </c>
      <c r="I234" s="59"/>
      <c r="J234" s="59"/>
      <c r="K234" s="59"/>
      <c r="L234" s="59"/>
      <c r="M234" s="59"/>
      <c r="N234" s="59"/>
      <c r="O234" s="59"/>
      <c r="P234" s="58">
        <v>156000</v>
      </c>
      <c r="Q234" s="59"/>
      <c r="R234" s="58">
        <v>114000</v>
      </c>
      <c r="S234" s="59"/>
      <c r="T234" s="144">
        <v>1230000</v>
      </c>
      <c r="U234" s="39">
        <f t="shared" si="146"/>
        <v>0</v>
      </c>
      <c r="V234" s="64"/>
      <c r="W234" s="64"/>
      <c r="X234" s="41">
        <f t="shared" si="142"/>
        <v>0</v>
      </c>
      <c r="Y234" s="126"/>
      <c r="Z234" s="41">
        <f t="shared" si="143"/>
        <v>0</v>
      </c>
      <c r="AA234" s="42">
        <f t="shared" si="144"/>
        <v>0</v>
      </c>
      <c r="AB234" s="258"/>
      <c r="AC234" s="258"/>
      <c r="AD234" s="258"/>
    </row>
    <row r="235" spans="1:30" ht="45.75" thickBot="1" x14ac:dyDescent="0.3">
      <c r="E235" s="85"/>
      <c r="F235" s="194" t="s">
        <v>325</v>
      </c>
      <c r="G235" s="133">
        <v>3132</v>
      </c>
      <c r="H235" s="169">
        <f>SUM(I235:T235)</f>
        <v>0</v>
      </c>
      <c r="I235" s="217"/>
      <c r="J235" s="217"/>
      <c r="K235" s="217"/>
      <c r="L235" s="217"/>
      <c r="M235" s="217"/>
      <c r="N235" s="217"/>
      <c r="O235" s="217"/>
      <c r="P235" s="217"/>
      <c r="Q235" s="217"/>
      <c r="R235" s="217"/>
      <c r="S235" s="217"/>
      <c r="T235" s="241"/>
      <c r="U235" s="39">
        <f t="shared" si="146"/>
        <v>0</v>
      </c>
      <c r="V235" s="64"/>
      <c r="W235" s="64"/>
      <c r="X235" s="41">
        <f t="shared" si="142"/>
        <v>0</v>
      </c>
      <c r="Y235" s="126"/>
      <c r="Z235" s="41">
        <f t="shared" si="143"/>
        <v>0</v>
      </c>
      <c r="AA235" s="42">
        <f t="shared" si="144"/>
        <v>0</v>
      </c>
      <c r="AB235" s="258"/>
      <c r="AC235" s="258"/>
      <c r="AD235" s="258"/>
    </row>
    <row r="236" spans="1:30" ht="57" thickBot="1" x14ac:dyDescent="0.3">
      <c r="E236" s="85"/>
      <c r="F236" s="194" t="s">
        <v>326</v>
      </c>
      <c r="G236" s="133">
        <v>3132</v>
      </c>
      <c r="H236" s="169">
        <v>56000</v>
      </c>
      <c r="I236" s="87"/>
      <c r="J236" s="87"/>
      <c r="K236" s="87"/>
      <c r="L236" s="87"/>
      <c r="M236" s="87"/>
      <c r="N236" s="87"/>
      <c r="O236" s="87"/>
      <c r="P236" s="87"/>
      <c r="Q236" s="88">
        <v>56000</v>
      </c>
      <c r="R236" s="87"/>
      <c r="S236" s="87"/>
      <c r="T236" s="229"/>
      <c r="U236" s="39">
        <f t="shared" si="146"/>
        <v>0</v>
      </c>
      <c r="V236" s="64"/>
      <c r="W236" s="64"/>
      <c r="X236" s="41">
        <f t="shared" si="142"/>
        <v>0</v>
      </c>
      <c r="Y236" s="126"/>
      <c r="Z236" s="41">
        <f t="shared" si="143"/>
        <v>0</v>
      </c>
      <c r="AA236" s="42">
        <f t="shared" si="144"/>
        <v>0</v>
      </c>
      <c r="AB236" s="258"/>
      <c r="AC236" s="258"/>
      <c r="AD236" s="258"/>
    </row>
    <row r="237" spans="1:30" ht="34.5" thickBot="1" x14ac:dyDescent="0.3">
      <c r="E237" s="85"/>
      <c r="F237" s="194" t="s">
        <v>327</v>
      </c>
      <c r="G237" s="133">
        <v>3132</v>
      </c>
      <c r="H237" s="169">
        <v>300000</v>
      </c>
      <c r="I237" s="59"/>
      <c r="J237" s="59"/>
      <c r="K237" s="59"/>
      <c r="L237" s="59"/>
      <c r="M237" s="59"/>
      <c r="N237" s="59"/>
      <c r="O237" s="59"/>
      <c r="P237" s="59"/>
      <c r="Q237" s="58">
        <v>164000</v>
      </c>
      <c r="R237" s="59"/>
      <c r="S237" s="58">
        <v>86000</v>
      </c>
      <c r="T237" s="229"/>
      <c r="U237" s="39">
        <f t="shared" si="146"/>
        <v>0</v>
      </c>
      <c r="V237" s="64"/>
      <c r="W237" s="64"/>
      <c r="X237" s="41">
        <f t="shared" si="142"/>
        <v>0</v>
      </c>
      <c r="Y237" s="126"/>
      <c r="Z237" s="41">
        <f t="shared" si="143"/>
        <v>0</v>
      </c>
      <c r="AA237" s="42">
        <f t="shared" si="144"/>
        <v>0</v>
      </c>
      <c r="AB237" s="258"/>
      <c r="AC237" s="258"/>
      <c r="AD237" s="258"/>
    </row>
    <row r="238" spans="1:30" ht="45.75" thickBot="1" x14ac:dyDescent="0.3">
      <c r="A238" t="s">
        <v>363</v>
      </c>
      <c r="D238" t="s">
        <v>344</v>
      </c>
      <c r="E238" s="85">
        <v>13</v>
      </c>
      <c r="F238" s="192" t="s">
        <v>328</v>
      </c>
      <c r="G238" s="133">
        <v>3132</v>
      </c>
      <c r="H238" s="169">
        <v>100000</v>
      </c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8">
        <v>100000</v>
      </c>
      <c r="T238" s="229"/>
      <c r="U238" s="39">
        <f t="shared" si="146"/>
        <v>0</v>
      </c>
      <c r="V238" s="64"/>
      <c r="W238" s="64"/>
      <c r="X238" s="41">
        <f t="shared" si="142"/>
        <v>0</v>
      </c>
      <c r="Y238" s="296">
        <f>25955</f>
        <v>25955</v>
      </c>
      <c r="Z238" s="41">
        <f t="shared" si="143"/>
        <v>25955</v>
      </c>
      <c r="AA238" s="42">
        <f t="shared" si="144"/>
        <v>25955</v>
      </c>
      <c r="AB238" s="258"/>
      <c r="AC238" s="258"/>
      <c r="AD238" s="258"/>
    </row>
    <row r="239" spans="1:30" ht="45.75" thickBot="1" x14ac:dyDescent="0.3">
      <c r="A239" t="s">
        <v>384</v>
      </c>
      <c r="B239" s="102">
        <v>44617</v>
      </c>
      <c r="D239" t="s">
        <v>385</v>
      </c>
      <c r="E239" s="85">
        <v>14</v>
      </c>
      <c r="F239" s="194" t="s">
        <v>329</v>
      </c>
      <c r="G239" s="133">
        <v>3132</v>
      </c>
      <c r="H239" s="169">
        <v>60000</v>
      </c>
      <c r="I239" s="59"/>
      <c r="J239" s="59"/>
      <c r="K239" s="58">
        <v>60000</v>
      </c>
      <c r="L239" s="59"/>
      <c r="M239" s="59"/>
      <c r="N239" s="59"/>
      <c r="O239" s="59"/>
      <c r="P239" s="59"/>
      <c r="Q239" s="58">
        <v>50000</v>
      </c>
      <c r="R239" s="59"/>
      <c r="S239" s="59"/>
      <c r="T239" s="229"/>
      <c r="U239" s="39">
        <f t="shared" si="146"/>
        <v>60000</v>
      </c>
      <c r="V239" s="64"/>
      <c r="W239" s="64"/>
      <c r="X239" s="41">
        <f t="shared" si="142"/>
        <v>0</v>
      </c>
      <c r="Y239" s="126">
        <f>49952</f>
        <v>49952</v>
      </c>
      <c r="Z239" s="41">
        <f t="shared" si="143"/>
        <v>49952</v>
      </c>
      <c r="AA239" s="42">
        <f t="shared" si="144"/>
        <v>-10048</v>
      </c>
      <c r="AB239" s="258"/>
      <c r="AC239" s="258"/>
      <c r="AD239" s="258"/>
    </row>
    <row r="240" spans="1:30" ht="45.75" thickBot="1" x14ac:dyDescent="0.3">
      <c r="E240" s="85">
        <v>15</v>
      </c>
      <c r="F240" s="194" t="s">
        <v>330</v>
      </c>
      <c r="G240" s="133">
        <v>3132</v>
      </c>
      <c r="H240" s="169">
        <v>1500000</v>
      </c>
      <c r="I240" s="59"/>
      <c r="J240" s="59"/>
      <c r="K240" s="58">
        <v>98000</v>
      </c>
      <c r="L240" s="58">
        <v>623000</v>
      </c>
      <c r="M240" s="58">
        <v>675000</v>
      </c>
      <c r="N240" s="58">
        <v>104000</v>
      </c>
      <c r="O240" s="59"/>
      <c r="P240" s="59"/>
      <c r="Q240" s="59"/>
      <c r="R240" s="59"/>
      <c r="S240" s="59"/>
      <c r="T240" s="229"/>
      <c r="U240" s="39">
        <f t="shared" si="146"/>
        <v>1500000</v>
      </c>
      <c r="V240" s="64"/>
      <c r="W240" s="64"/>
      <c r="X240" s="41">
        <f t="shared" si="142"/>
        <v>0</v>
      </c>
      <c r="Y240" s="126"/>
      <c r="Z240" s="41">
        <f t="shared" si="143"/>
        <v>0</v>
      </c>
      <c r="AA240" s="42">
        <f t="shared" si="144"/>
        <v>-1500000</v>
      </c>
      <c r="AB240" s="258"/>
      <c r="AC240" s="258"/>
      <c r="AD240" s="258"/>
    </row>
    <row r="241" spans="1:30" ht="68.25" thickBot="1" x14ac:dyDescent="0.3">
      <c r="E241" s="85">
        <v>16</v>
      </c>
      <c r="F241" s="194" t="s">
        <v>331</v>
      </c>
      <c r="G241" s="133">
        <v>3132</v>
      </c>
      <c r="H241" s="169">
        <v>500000</v>
      </c>
      <c r="I241" s="59"/>
      <c r="J241" s="59"/>
      <c r="K241" s="58">
        <v>500000</v>
      </c>
      <c r="L241" s="59"/>
      <c r="M241" s="59"/>
      <c r="N241" s="59"/>
      <c r="O241" s="59"/>
      <c r="P241" s="59"/>
      <c r="Q241" s="59"/>
      <c r="R241" s="59"/>
      <c r="S241" s="59"/>
      <c r="T241" s="229"/>
      <c r="U241" s="39">
        <f t="shared" si="146"/>
        <v>500000</v>
      </c>
      <c r="V241" s="64"/>
      <c r="W241" s="64"/>
      <c r="X241" s="41">
        <f t="shared" si="142"/>
        <v>0</v>
      </c>
      <c r="Y241" s="64"/>
      <c r="Z241" s="41">
        <f t="shared" si="143"/>
        <v>0</v>
      </c>
      <c r="AA241" s="42">
        <f t="shared" si="144"/>
        <v>-500000</v>
      </c>
      <c r="AB241" s="258"/>
      <c r="AC241" s="258"/>
      <c r="AD241" s="258"/>
    </row>
    <row r="242" spans="1:30" ht="45.75" thickBot="1" x14ac:dyDescent="0.3">
      <c r="E242" s="85">
        <v>17</v>
      </c>
      <c r="F242" s="194" t="s">
        <v>332</v>
      </c>
      <c r="G242" s="133">
        <v>3132</v>
      </c>
      <c r="H242" s="169">
        <v>100000</v>
      </c>
      <c r="I242" s="59"/>
      <c r="J242" s="59"/>
      <c r="K242" s="59"/>
      <c r="L242" s="59"/>
      <c r="M242" s="59"/>
      <c r="N242" s="58">
        <v>100000</v>
      </c>
      <c r="O242" s="59"/>
      <c r="P242" s="59"/>
      <c r="Q242" s="59"/>
      <c r="R242" s="59"/>
      <c r="S242" s="59"/>
      <c r="T242" s="229"/>
      <c r="U242" s="39">
        <f t="shared" si="146"/>
        <v>100000</v>
      </c>
      <c r="V242" s="64"/>
      <c r="W242" s="64"/>
      <c r="X242" s="41">
        <f t="shared" si="142"/>
        <v>0</v>
      </c>
      <c r="Y242" s="64"/>
      <c r="Z242" s="41">
        <f t="shared" si="143"/>
        <v>0</v>
      </c>
      <c r="AA242" s="42">
        <f t="shared" si="144"/>
        <v>-100000</v>
      </c>
      <c r="AB242" s="258"/>
      <c r="AC242" s="258"/>
      <c r="AD242" s="258"/>
    </row>
    <row r="243" spans="1:30" ht="45.75" thickBot="1" x14ac:dyDescent="0.3">
      <c r="E243" s="85">
        <v>18</v>
      </c>
      <c r="F243" s="194" t="s">
        <v>333</v>
      </c>
      <c r="G243" s="133">
        <v>3132</v>
      </c>
      <c r="H243" s="169">
        <v>100000</v>
      </c>
      <c r="I243" s="59"/>
      <c r="J243" s="59"/>
      <c r="K243" s="59"/>
      <c r="L243" s="59"/>
      <c r="M243" s="59"/>
      <c r="N243" s="58">
        <v>100000</v>
      </c>
      <c r="O243" s="59"/>
      <c r="P243" s="59"/>
      <c r="Q243" s="59"/>
      <c r="R243" s="59"/>
      <c r="S243" s="59"/>
      <c r="T243" s="229"/>
      <c r="U243" s="39">
        <f t="shared" si="146"/>
        <v>100000</v>
      </c>
      <c r="V243" s="64"/>
      <c r="W243" s="64"/>
      <c r="X243" s="41">
        <f t="shared" si="142"/>
        <v>0</v>
      </c>
      <c r="Y243" s="64"/>
      <c r="Z243" s="41">
        <f t="shared" si="143"/>
        <v>0</v>
      </c>
      <c r="AA243" s="42">
        <f t="shared" si="144"/>
        <v>-100000</v>
      </c>
      <c r="AB243" s="258"/>
      <c r="AC243" s="258"/>
      <c r="AD243" s="258"/>
    </row>
    <row r="244" spans="1:30" ht="45.75" thickBot="1" x14ac:dyDescent="0.3">
      <c r="E244" s="85">
        <v>19</v>
      </c>
      <c r="F244" s="194" t="s">
        <v>334</v>
      </c>
      <c r="G244" s="133">
        <v>3132</v>
      </c>
      <c r="H244" s="169">
        <v>100000</v>
      </c>
      <c r="I244" s="59"/>
      <c r="J244" s="59"/>
      <c r="K244" s="59"/>
      <c r="L244" s="59"/>
      <c r="M244" s="59"/>
      <c r="N244" s="58">
        <v>100000</v>
      </c>
      <c r="O244" s="59"/>
      <c r="P244" s="59"/>
      <c r="Q244" s="59"/>
      <c r="R244" s="59"/>
      <c r="S244" s="59"/>
      <c r="T244" s="229"/>
      <c r="U244" s="39">
        <f t="shared" si="146"/>
        <v>100000</v>
      </c>
      <c r="V244" s="64"/>
      <c r="W244" s="64"/>
      <c r="X244" s="41">
        <f t="shared" si="142"/>
        <v>0</v>
      </c>
      <c r="Y244" s="64"/>
      <c r="Z244" s="41">
        <f t="shared" si="143"/>
        <v>0</v>
      </c>
      <c r="AA244" s="42">
        <f t="shared" si="144"/>
        <v>-100000</v>
      </c>
      <c r="AB244" s="258"/>
      <c r="AC244" s="258"/>
      <c r="AD244" s="258"/>
    </row>
    <row r="245" spans="1:30" ht="34.5" thickBot="1" x14ac:dyDescent="0.3">
      <c r="E245" s="85">
        <v>20</v>
      </c>
      <c r="F245" s="194" t="s">
        <v>335</v>
      </c>
      <c r="G245" s="85">
        <v>3142</v>
      </c>
      <c r="H245" s="169">
        <v>500000</v>
      </c>
      <c r="I245" s="59"/>
      <c r="J245" s="59"/>
      <c r="K245" s="59"/>
      <c r="L245" s="59"/>
      <c r="M245" s="59"/>
      <c r="N245" s="58">
        <v>282387</v>
      </c>
      <c r="O245" s="58">
        <v>100000</v>
      </c>
      <c r="P245" s="58">
        <v>117613</v>
      </c>
      <c r="Q245" s="59"/>
      <c r="R245" s="59"/>
      <c r="S245" s="59"/>
      <c r="T245" s="229"/>
      <c r="U245" s="39">
        <f t="shared" si="146"/>
        <v>382387</v>
      </c>
      <c r="V245" s="64"/>
      <c r="W245" s="64"/>
      <c r="X245" s="41">
        <f t="shared" si="142"/>
        <v>0</v>
      </c>
      <c r="Y245" s="64"/>
      <c r="Z245" s="41">
        <f t="shared" si="143"/>
        <v>0</v>
      </c>
      <c r="AA245" s="42">
        <f t="shared" si="144"/>
        <v>-382387</v>
      </c>
      <c r="AB245" s="258"/>
      <c r="AC245" s="258"/>
      <c r="AD245" s="258"/>
    </row>
    <row r="246" spans="1:30" ht="34.5" thickBot="1" x14ac:dyDescent="0.3">
      <c r="E246" s="85">
        <v>21</v>
      </c>
      <c r="F246" s="194" t="s">
        <v>336</v>
      </c>
      <c r="G246" s="85">
        <v>3142</v>
      </c>
      <c r="H246" s="169">
        <v>300000</v>
      </c>
      <c r="I246" s="59"/>
      <c r="J246" s="59"/>
      <c r="K246" s="59"/>
      <c r="L246" s="59"/>
      <c r="M246" s="59"/>
      <c r="N246" s="59"/>
      <c r="O246" s="59"/>
      <c r="P246" s="58">
        <v>282387</v>
      </c>
      <c r="Q246" s="58">
        <v>17613</v>
      </c>
      <c r="R246" s="59"/>
      <c r="S246" s="59"/>
      <c r="T246" s="229"/>
      <c r="U246" s="39">
        <f t="shared" si="146"/>
        <v>0</v>
      </c>
      <c r="V246" s="64"/>
      <c r="W246" s="64"/>
      <c r="X246" s="41">
        <f t="shared" si="142"/>
        <v>0</v>
      </c>
      <c r="Y246" s="64"/>
      <c r="Z246" s="41">
        <f t="shared" si="143"/>
        <v>0</v>
      </c>
      <c r="AA246" s="42">
        <f t="shared" si="144"/>
        <v>0</v>
      </c>
      <c r="AB246" s="258"/>
      <c r="AC246" s="258"/>
      <c r="AD246" s="258"/>
    </row>
    <row r="247" spans="1:30" ht="15.75" thickBot="1" x14ac:dyDescent="0.3">
      <c r="E247" s="141"/>
      <c r="F247" s="96" t="s">
        <v>192</v>
      </c>
      <c r="G247" s="170"/>
      <c r="H247" s="171">
        <f>SUM(H219:H229)</f>
        <v>4461613</v>
      </c>
      <c r="I247" s="171">
        <f t="shared" ref="I247:AA247" si="148">SUM(I219:I229)</f>
        <v>114000</v>
      </c>
      <c r="J247" s="171">
        <f t="shared" si="148"/>
        <v>0</v>
      </c>
      <c r="K247" s="171">
        <f t="shared" si="148"/>
        <v>1140000</v>
      </c>
      <c r="L247" s="171">
        <f t="shared" si="148"/>
        <v>0</v>
      </c>
      <c r="M247" s="171">
        <f t="shared" si="148"/>
        <v>1100000</v>
      </c>
      <c r="N247" s="171">
        <f t="shared" si="148"/>
        <v>113613</v>
      </c>
      <c r="O247" s="171">
        <f t="shared" si="148"/>
        <v>0</v>
      </c>
      <c r="P247" s="171">
        <f t="shared" si="148"/>
        <v>870000</v>
      </c>
      <c r="Q247" s="171">
        <f t="shared" si="148"/>
        <v>1120000</v>
      </c>
      <c r="R247" s="171">
        <f t="shared" si="148"/>
        <v>0</v>
      </c>
      <c r="S247" s="171">
        <f t="shared" si="148"/>
        <v>4000</v>
      </c>
      <c r="T247" s="242">
        <f t="shared" si="148"/>
        <v>0</v>
      </c>
      <c r="U247" s="171">
        <f>SUM(U219:U229)</f>
        <v>2467613</v>
      </c>
      <c r="V247" s="171">
        <f t="shared" si="148"/>
        <v>0</v>
      </c>
      <c r="W247" s="171">
        <f t="shared" si="148"/>
        <v>0</v>
      </c>
      <c r="X247" s="171">
        <f t="shared" si="148"/>
        <v>0</v>
      </c>
      <c r="Y247" s="171">
        <f t="shared" si="148"/>
        <v>16203.18</v>
      </c>
      <c r="Z247" s="171">
        <f t="shared" si="148"/>
        <v>16203.18</v>
      </c>
      <c r="AA247" s="171">
        <f t="shared" si="148"/>
        <v>-2451409.8199999998</v>
      </c>
      <c r="AB247" s="270"/>
      <c r="AC247" s="270"/>
      <c r="AD247" s="270"/>
    </row>
    <row r="248" spans="1:30" ht="15.75" thickBot="1" x14ac:dyDescent="0.3">
      <c r="E248" s="141"/>
      <c r="F248" s="96" t="s">
        <v>245</v>
      </c>
      <c r="G248" s="170"/>
      <c r="H248" s="171">
        <f>SUM(H230:H244)</f>
        <v>5416000</v>
      </c>
      <c r="I248" s="171">
        <f t="shared" ref="I248:AA248" si="149">SUM(I230:I244)</f>
        <v>50000</v>
      </c>
      <c r="J248" s="171">
        <f t="shared" si="149"/>
        <v>626000</v>
      </c>
      <c r="K248" s="171">
        <f t="shared" si="149"/>
        <v>882000</v>
      </c>
      <c r="L248" s="171">
        <f t="shared" si="149"/>
        <v>823000</v>
      </c>
      <c r="M248" s="171">
        <f t="shared" si="149"/>
        <v>675000</v>
      </c>
      <c r="N248" s="171">
        <f t="shared" si="149"/>
        <v>404000</v>
      </c>
      <c r="O248" s="171">
        <f t="shared" si="149"/>
        <v>0</v>
      </c>
      <c r="P248" s="171">
        <f t="shared" si="149"/>
        <v>156000</v>
      </c>
      <c r="Q248" s="171">
        <f t="shared" si="149"/>
        <v>270000</v>
      </c>
      <c r="R248" s="171">
        <f t="shared" si="149"/>
        <v>114000</v>
      </c>
      <c r="S248" s="171">
        <f t="shared" si="149"/>
        <v>186000</v>
      </c>
      <c r="T248" s="242">
        <f t="shared" si="149"/>
        <v>1230000</v>
      </c>
      <c r="U248" s="171">
        <f t="shared" si="149"/>
        <v>3460000</v>
      </c>
      <c r="V248" s="171">
        <f t="shared" si="149"/>
        <v>0</v>
      </c>
      <c r="W248" s="171">
        <f t="shared" si="149"/>
        <v>0</v>
      </c>
      <c r="X248" s="171">
        <f t="shared" si="149"/>
        <v>0</v>
      </c>
      <c r="Y248" s="171">
        <f t="shared" si="149"/>
        <v>75907</v>
      </c>
      <c r="Z248" s="171">
        <f t="shared" si="149"/>
        <v>75907</v>
      </c>
      <c r="AA248" s="171">
        <f t="shared" si="149"/>
        <v>-3384093</v>
      </c>
      <c r="AB248" s="270"/>
      <c r="AC248" s="270"/>
      <c r="AD248" s="270"/>
    </row>
    <row r="249" spans="1:30" ht="15.75" thickBot="1" x14ac:dyDescent="0.3">
      <c r="E249" s="141"/>
      <c r="F249" s="96" t="s">
        <v>291</v>
      </c>
      <c r="G249" s="170"/>
      <c r="H249" s="171">
        <f>SUM(H245:H246)</f>
        <v>800000</v>
      </c>
      <c r="I249" s="171">
        <f t="shared" ref="I249:AA249" si="150">SUM(I245:I246)</f>
        <v>0</v>
      </c>
      <c r="J249" s="171">
        <f t="shared" si="150"/>
        <v>0</v>
      </c>
      <c r="K249" s="171">
        <f t="shared" si="150"/>
        <v>0</v>
      </c>
      <c r="L249" s="171">
        <f t="shared" si="150"/>
        <v>0</v>
      </c>
      <c r="M249" s="171">
        <f t="shared" si="150"/>
        <v>0</v>
      </c>
      <c r="N249" s="171">
        <f t="shared" si="150"/>
        <v>282387</v>
      </c>
      <c r="O249" s="171">
        <f t="shared" si="150"/>
        <v>100000</v>
      </c>
      <c r="P249" s="171">
        <f t="shared" si="150"/>
        <v>400000</v>
      </c>
      <c r="Q249" s="171">
        <f t="shared" si="150"/>
        <v>17613</v>
      </c>
      <c r="R249" s="171">
        <f t="shared" si="150"/>
        <v>0</v>
      </c>
      <c r="S249" s="171">
        <f t="shared" si="150"/>
        <v>0</v>
      </c>
      <c r="T249" s="242">
        <f t="shared" si="150"/>
        <v>0</v>
      </c>
      <c r="U249" s="171">
        <f t="shared" si="150"/>
        <v>382387</v>
      </c>
      <c r="V249" s="171">
        <f t="shared" si="150"/>
        <v>0</v>
      </c>
      <c r="W249" s="171">
        <f t="shared" si="150"/>
        <v>0</v>
      </c>
      <c r="X249" s="171">
        <f t="shared" si="150"/>
        <v>0</v>
      </c>
      <c r="Y249" s="171">
        <f t="shared" si="150"/>
        <v>0</v>
      </c>
      <c r="Z249" s="171">
        <f t="shared" si="150"/>
        <v>0</v>
      </c>
      <c r="AA249" s="171">
        <f t="shared" si="150"/>
        <v>-382387</v>
      </c>
      <c r="AB249" s="270"/>
      <c r="AC249" s="270"/>
      <c r="AD249" s="270"/>
    </row>
    <row r="250" spans="1:30" ht="15.75" thickBot="1" x14ac:dyDescent="0.3">
      <c r="F250" s="79" t="s">
        <v>178</v>
      </c>
      <c r="G250" s="79"/>
      <c r="H250" s="89">
        <f>SUM(H247:H249)</f>
        <v>10677613</v>
      </c>
      <c r="I250" s="89">
        <f t="shared" ref="I250:AA250" si="151">SUM(I247:I249)</f>
        <v>164000</v>
      </c>
      <c r="J250" s="89">
        <f t="shared" si="151"/>
        <v>626000</v>
      </c>
      <c r="K250" s="89">
        <f t="shared" si="151"/>
        <v>2022000</v>
      </c>
      <c r="L250" s="89">
        <f t="shared" si="151"/>
        <v>823000</v>
      </c>
      <c r="M250" s="89">
        <f t="shared" si="151"/>
        <v>1775000</v>
      </c>
      <c r="N250" s="89">
        <f t="shared" si="151"/>
        <v>800000</v>
      </c>
      <c r="O250" s="89">
        <f t="shared" si="151"/>
        <v>100000</v>
      </c>
      <c r="P250" s="89">
        <f t="shared" si="151"/>
        <v>1426000</v>
      </c>
      <c r="Q250" s="89">
        <f t="shared" si="151"/>
        <v>1407613</v>
      </c>
      <c r="R250" s="89">
        <f t="shared" si="151"/>
        <v>114000</v>
      </c>
      <c r="S250" s="89">
        <f t="shared" si="151"/>
        <v>190000</v>
      </c>
      <c r="T250" s="243">
        <f t="shared" si="151"/>
        <v>1230000</v>
      </c>
      <c r="U250" s="89">
        <f t="shared" si="151"/>
        <v>6310000</v>
      </c>
      <c r="V250" s="89">
        <f t="shared" si="151"/>
        <v>0</v>
      </c>
      <c r="W250" s="89">
        <f t="shared" si="151"/>
        <v>0</v>
      </c>
      <c r="X250" s="89">
        <f t="shared" si="151"/>
        <v>0</v>
      </c>
      <c r="Y250" s="89">
        <f t="shared" si="151"/>
        <v>92110.18</v>
      </c>
      <c r="Z250" s="89">
        <f t="shared" si="151"/>
        <v>92110.18</v>
      </c>
      <c r="AA250" s="89">
        <f t="shared" si="151"/>
        <v>-6217889.8200000003</v>
      </c>
      <c r="AB250" s="266"/>
      <c r="AC250" s="266"/>
      <c r="AD250" s="266"/>
    </row>
    <row r="251" spans="1:30" ht="34.5" hidden="1" customHeight="1" thickTop="1" thickBot="1" x14ac:dyDescent="0.3">
      <c r="A251" s="3" t="s">
        <v>0</v>
      </c>
      <c r="B251" s="3" t="s">
        <v>1</v>
      </c>
      <c r="C251" s="3"/>
      <c r="D251" s="4" t="s">
        <v>3</v>
      </c>
      <c r="E251" s="83">
        <v>3117380</v>
      </c>
      <c r="F251" s="445" t="s">
        <v>247</v>
      </c>
      <c r="G251" s="446"/>
      <c r="H251" s="7" t="s">
        <v>155</v>
      </c>
      <c r="I251" s="8" t="s">
        <v>7</v>
      </c>
      <c r="J251" s="9" t="s">
        <v>8</v>
      </c>
      <c r="K251" s="9" t="s">
        <v>9</v>
      </c>
      <c r="L251" s="8" t="s">
        <v>10</v>
      </c>
      <c r="M251" s="8" t="s">
        <v>11</v>
      </c>
      <c r="N251" s="10" t="s">
        <v>12</v>
      </c>
      <c r="O251" s="11" t="s">
        <v>13</v>
      </c>
      <c r="P251" s="12" t="s">
        <v>14</v>
      </c>
      <c r="Q251" s="12" t="s">
        <v>15</v>
      </c>
      <c r="R251" s="13" t="s">
        <v>16</v>
      </c>
      <c r="S251" s="8" t="s">
        <v>17</v>
      </c>
      <c r="T251" s="221" t="s">
        <v>18</v>
      </c>
      <c r="U251" s="7" t="s">
        <v>356</v>
      </c>
      <c r="V251" s="7" t="s">
        <v>19</v>
      </c>
      <c r="W251" s="7" t="s">
        <v>20</v>
      </c>
      <c r="X251" s="7" t="s">
        <v>21</v>
      </c>
      <c r="Y251" s="5" t="s">
        <v>22</v>
      </c>
      <c r="Z251" s="14" t="s">
        <v>23</v>
      </c>
      <c r="AA251" s="14" t="s">
        <v>24</v>
      </c>
      <c r="AB251" s="255"/>
      <c r="AC251" s="255"/>
      <c r="AD251" s="255"/>
    </row>
    <row r="252" spans="1:30" ht="79.5" hidden="1" thickBot="1" x14ac:dyDescent="0.3">
      <c r="E252" s="85">
        <v>1</v>
      </c>
      <c r="F252" s="135" t="s">
        <v>248</v>
      </c>
      <c r="G252" s="85">
        <v>3132</v>
      </c>
      <c r="H252" s="136"/>
      <c r="I252" s="137"/>
      <c r="J252" s="142"/>
      <c r="K252" s="137"/>
      <c r="L252" s="137"/>
      <c r="M252" s="139"/>
      <c r="N252" s="139"/>
      <c r="O252" s="139"/>
      <c r="P252" s="139"/>
      <c r="Q252" s="139"/>
      <c r="R252" s="87"/>
      <c r="S252" s="85"/>
      <c r="T252" s="244"/>
      <c r="U252" s="39"/>
      <c r="V252" s="64"/>
      <c r="W252" s="64"/>
      <c r="X252" s="41">
        <f t="shared" ref="X252" si="152">W252-V252</f>
        <v>0</v>
      </c>
      <c r="Y252" s="64"/>
      <c r="Z252" s="41">
        <f t="shared" ref="Z252" si="153">Y252-V252</f>
        <v>0</v>
      </c>
      <c r="AA252" s="42">
        <f t="shared" ref="AA252" si="154">Y252-U252</f>
        <v>0</v>
      </c>
      <c r="AB252" s="258"/>
      <c r="AC252" s="258"/>
      <c r="AD252" s="258"/>
    </row>
    <row r="253" spans="1:30" ht="15.75" hidden="1" thickBot="1" x14ac:dyDescent="0.3">
      <c r="E253" s="141"/>
      <c r="F253" s="79" t="s">
        <v>249</v>
      </c>
      <c r="G253" s="79"/>
      <c r="H253" s="89">
        <f>SUM(H252)</f>
        <v>0</v>
      </c>
      <c r="I253" s="89">
        <f t="shared" ref="I253:AA253" si="155">SUM(I252)</f>
        <v>0</v>
      </c>
      <c r="J253" s="89">
        <f t="shared" si="155"/>
        <v>0</v>
      </c>
      <c r="K253" s="89">
        <f t="shared" si="155"/>
        <v>0</v>
      </c>
      <c r="L253" s="89">
        <f t="shared" si="155"/>
        <v>0</v>
      </c>
      <c r="M253" s="89">
        <f t="shared" si="155"/>
        <v>0</v>
      </c>
      <c r="N253" s="89">
        <f t="shared" si="155"/>
        <v>0</v>
      </c>
      <c r="O253" s="89">
        <f t="shared" si="155"/>
        <v>0</v>
      </c>
      <c r="P253" s="89">
        <f t="shared" si="155"/>
        <v>0</v>
      </c>
      <c r="Q253" s="89">
        <f t="shared" si="155"/>
        <v>0</v>
      </c>
      <c r="R253" s="89">
        <f t="shared" si="155"/>
        <v>0</v>
      </c>
      <c r="S253" s="89">
        <f t="shared" si="155"/>
        <v>0</v>
      </c>
      <c r="T253" s="243">
        <f t="shared" si="155"/>
        <v>0</v>
      </c>
      <c r="U253" s="89">
        <f t="shared" si="155"/>
        <v>0</v>
      </c>
      <c r="V253" s="89">
        <f t="shared" si="155"/>
        <v>0</v>
      </c>
      <c r="W253" s="89">
        <f t="shared" si="155"/>
        <v>0</v>
      </c>
      <c r="X253" s="89">
        <f t="shared" si="155"/>
        <v>0</v>
      </c>
      <c r="Y253" s="89">
        <f t="shared" si="155"/>
        <v>0</v>
      </c>
      <c r="Z253" s="89">
        <f t="shared" si="155"/>
        <v>0</v>
      </c>
      <c r="AA253" s="89">
        <f t="shared" si="155"/>
        <v>0</v>
      </c>
      <c r="AB253" s="266"/>
      <c r="AC253" s="266"/>
      <c r="AD253" s="266"/>
    </row>
    <row r="254" spans="1:30" ht="42" customHeight="1" thickTop="1" thickBot="1" x14ac:dyDescent="0.3">
      <c r="A254" s="3" t="s">
        <v>0</v>
      </c>
      <c r="B254" s="3" t="s">
        <v>1</v>
      </c>
      <c r="C254" s="3"/>
      <c r="D254" s="4" t="s">
        <v>3</v>
      </c>
      <c r="E254" s="83">
        <v>3117691</v>
      </c>
      <c r="F254" s="445" t="s">
        <v>191</v>
      </c>
      <c r="G254" s="446"/>
      <c r="H254" s="7" t="s">
        <v>155</v>
      </c>
      <c r="I254" s="8" t="s">
        <v>7</v>
      </c>
      <c r="J254" s="9" t="s">
        <v>8</v>
      </c>
      <c r="K254" s="9" t="s">
        <v>9</v>
      </c>
      <c r="L254" s="8" t="s">
        <v>10</v>
      </c>
      <c r="M254" s="8" t="s">
        <v>11</v>
      </c>
      <c r="N254" s="10" t="s">
        <v>12</v>
      </c>
      <c r="O254" s="11" t="s">
        <v>13</v>
      </c>
      <c r="P254" s="12" t="s">
        <v>14</v>
      </c>
      <c r="Q254" s="12" t="s">
        <v>15</v>
      </c>
      <c r="R254" s="13" t="s">
        <v>16</v>
      </c>
      <c r="S254" s="8" t="s">
        <v>17</v>
      </c>
      <c r="T254" s="221" t="s">
        <v>18</v>
      </c>
      <c r="U254" s="7" t="s">
        <v>426</v>
      </c>
      <c r="V254" s="7" t="s">
        <v>19</v>
      </c>
      <c r="W254" s="7" t="s">
        <v>20</v>
      </c>
      <c r="X254" s="7" t="s">
        <v>21</v>
      </c>
      <c r="Y254" s="5" t="s">
        <v>22</v>
      </c>
      <c r="Z254" s="14" t="s">
        <v>23</v>
      </c>
      <c r="AA254" s="14" t="s">
        <v>24</v>
      </c>
      <c r="AB254" s="255"/>
      <c r="AC254" s="255"/>
      <c r="AD254" s="255"/>
    </row>
    <row r="255" spans="1:30" ht="31.5" customHeight="1" thickTop="1" thickBot="1" x14ac:dyDescent="0.3">
      <c r="F255" s="471" t="s">
        <v>189</v>
      </c>
      <c r="G255" s="472"/>
      <c r="H255" s="472"/>
    </row>
    <row r="256" spans="1:30" ht="51.75" thickBot="1" x14ac:dyDescent="0.3">
      <c r="A256">
        <v>93</v>
      </c>
      <c r="B256" s="102">
        <v>44678</v>
      </c>
      <c r="C256">
        <v>3200</v>
      </c>
      <c r="D256" t="s">
        <v>381</v>
      </c>
      <c r="F256" s="91" t="s">
        <v>180</v>
      </c>
      <c r="G256" s="44">
        <v>2240</v>
      </c>
      <c r="H256" s="68">
        <f t="shared" ref="H256:H263" si="156">SUM(I256:T256)</f>
        <v>140000</v>
      </c>
      <c r="I256" s="93">
        <v>40000</v>
      </c>
      <c r="J256" s="48"/>
      <c r="K256" s="48"/>
      <c r="L256" s="61">
        <v>100000</v>
      </c>
      <c r="M256" s="48"/>
      <c r="N256" s="48"/>
      <c r="O256" s="48"/>
      <c r="P256" s="48"/>
      <c r="Q256" s="48"/>
      <c r="R256" s="48"/>
      <c r="S256" s="48"/>
      <c r="T256" s="231"/>
      <c r="U256" s="39">
        <f>I256+J256+K256+L256+M256+N256+O256</f>
        <v>140000</v>
      </c>
      <c r="V256" s="64"/>
      <c r="W256" s="64"/>
      <c r="X256" s="41">
        <f t="shared" ref="X256:X263" si="157">W256-V256</f>
        <v>0</v>
      </c>
      <c r="Y256" s="64">
        <f>3200</f>
        <v>3200</v>
      </c>
      <c r="Z256" s="41">
        <f t="shared" ref="Z256:Z263" si="158">Y256-V256</f>
        <v>3200</v>
      </c>
      <c r="AA256" s="42">
        <f t="shared" ref="AA256:AA263" si="159">Y256-U256</f>
        <v>-136800</v>
      </c>
      <c r="AB256" s="258"/>
      <c r="AC256" s="258"/>
      <c r="AD256" s="258"/>
    </row>
    <row r="257" spans="1:31" ht="39" thickBot="1" x14ac:dyDescent="0.3">
      <c r="F257" s="91" t="s">
        <v>181</v>
      </c>
      <c r="G257" s="44">
        <v>2240</v>
      </c>
      <c r="H257" s="68">
        <f t="shared" si="156"/>
        <v>20000</v>
      </c>
      <c r="I257" s="94"/>
      <c r="J257" s="48"/>
      <c r="K257" s="48"/>
      <c r="L257" s="48"/>
      <c r="M257" s="48"/>
      <c r="N257" s="48"/>
      <c r="O257" s="48"/>
      <c r="P257" s="48"/>
      <c r="Q257" s="48"/>
      <c r="R257" s="61">
        <v>10000</v>
      </c>
      <c r="S257" s="61">
        <v>10000</v>
      </c>
      <c r="T257" s="231"/>
      <c r="U257" s="39">
        <f t="shared" ref="U257:U263" si="160">I257+J257+K257+L257+M257+N257+O257</f>
        <v>0</v>
      </c>
      <c r="V257" s="64"/>
      <c r="W257" s="64"/>
      <c r="X257" s="41">
        <f t="shared" si="157"/>
        <v>0</v>
      </c>
      <c r="Y257" s="64"/>
      <c r="Z257" s="41">
        <f t="shared" si="158"/>
        <v>0</v>
      </c>
      <c r="AA257" s="42">
        <f t="shared" si="159"/>
        <v>0</v>
      </c>
      <c r="AB257" s="258"/>
      <c r="AC257" s="258"/>
      <c r="AD257" s="258"/>
    </row>
    <row r="258" spans="1:31" ht="26.25" thickBot="1" x14ac:dyDescent="0.3">
      <c r="F258" s="91" t="s">
        <v>182</v>
      </c>
      <c r="G258" s="44">
        <v>2240</v>
      </c>
      <c r="H258" s="68">
        <f t="shared" si="156"/>
        <v>40000</v>
      </c>
      <c r="I258" s="93">
        <v>40000</v>
      </c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231"/>
      <c r="U258" s="39">
        <f t="shared" si="160"/>
        <v>40000</v>
      </c>
      <c r="V258" s="64"/>
      <c r="W258" s="64"/>
      <c r="X258" s="41">
        <f t="shared" si="157"/>
        <v>0</v>
      </c>
      <c r="Y258" s="64"/>
      <c r="Z258" s="41">
        <f t="shared" si="158"/>
        <v>0</v>
      </c>
      <c r="AA258" s="42">
        <f t="shared" si="159"/>
        <v>-40000</v>
      </c>
      <c r="AB258" s="258"/>
      <c r="AC258" s="258"/>
      <c r="AD258" s="258"/>
    </row>
    <row r="259" spans="1:31" ht="39" thickBot="1" x14ac:dyDescent="0.3">
      <c r="F259" s="91" t="s">
        <v>183</v>
      </c>
      <c r="G259" s="44">
        <v>2240</v>
      </c>
      <c r="H259" s="68">
        <f t="shared" si="156"/>
        <v>300000</v>
      </c>
      <c r="I259" s="94"/>
      <c r="J259" s="48"/>
      <c r="K259" s="48"/>
      <c r="L259" s="48"/>
      <c r="M259" s="61">
        <v>100000</v>
      </c>
      <c r="N259" s="61">
        <v>100000</v>
      </c>
      <c r="O259" s="61">
        <v>100000</v>
      </c>
      <c r="P259" s="48"/>
      <c r="Q259" s="48"/>
      <c r="R259" s="48"/>
      <c r="S259" s="48"/>
      <c r="T259" s="231"/>
      <c r="U259" s="39">
        <f t="shared" si="160"/>
        <v>300000</v>
      </c>
      <c r="V259" s="64"/>
      <c r="W259" s="64"/>
      <c r="X259" s="41">
        <f t="shared" si="157"/>
        <v>0</v>
      </c>
      <c r="Y259" s="64"/>
      <c r="Z259" s="41">
        <f t="shared" si="158"/>
        <v>0</v>
      </c>
      <c r="AA259" s="42">
        <f t="shared" si="159"/>
        <v>-300000</v>
      </c>
      <c r="AB259" s="258"/>
      <c r="AC259" s="258"/>
      <c r="AD259" s="258"/>
    </row>
    <row r="260" spans="1:31" ht="19.5" customHeight="1" thickBot="1" x14ac:dyDescent="0.3">
      <c r="F260" s="92" t="s">
        <v>184</v>
      </c>
      <c r="G260" s="44">
        <v>2240</v>
      </c>
      <c r="H260" s="68">
        <f t="shared" si="156"/>
        <v>100000</v>
      </c>
      <c r="I260" s="94"/>
      <c r="J260" s="61">
        <v>100000</v>
      </c>
      <c r="K260" s="48"/>
      <c r="L260" s="48"/>
      <c r="M260" s="48"/>
      <c r="N260" s="48"/>
      <c r="O260" s="48"/>
      <c r="P260" s="48"/>
      <c r="Q260" s="48"/>
      <c r="R260" s="48"/>
      <c r="S260" s="48"/>
      <c r="T260" s="231"/>
      <c r="U260" s="39">
        <f t="shared" si="160"/>
        <v>100000</v>
      </c>
      <c r="V260" s="64"/>
      <c r="W260" s="64"/>
      <c r="X260" s="41">
        <f t="shared" si="157"/>
        <v>0</v>
      </c>
      <c r="Y260" s="64"/>
      <c r="Z260" s="41">
        <f t="shared" si="158"/>
        <v>0</v>
      </c>
      <c r="AA260" s="42">
        <f t="shared" si="159"/>
        <v>-100000</v>
      </c>
      <c r="AB260" s="258"/>
      <c r="AC260" s="258"/>
      <c r="AD260" s="258"/>
    </row>
    <row r="261" spans="1:31" ht="16.5" thickBot="1" x14ac:dyDescent="0.3">
      <c r="F261" s="92" t="s">
        <v>185</v>
      </c>
      <c r="G261" s="44">
        <v>2240</v>
      </c>
      <c r="H261" s="68">
        <f t="shared" si="156"/>
        <v>200000</v>
      </c>
      <c r="I261" s="94"/>
      <c r="J261" s="48"/>
      <c r="K261" s="48"/>
      <c r="L261" s="48"/>
      <c r="M261" s="48"/>
      <c r="N261" s="48"/>
      <c r="O261" s="48"/>
      <c r="P261" s="48"/>
      <c r="Q261" s="48"/>
      <c r="R261" s="61">
        <v>67000</v>
      </c>
      <c r="S261" s="61">
        <v>66500</v>
      </c>
      <c r="T261" s="147">
        <v>66500</v>
      </c>
      <c r="U261" s="39">
        <f>I261+J261+K261+L261+M261+N261+O261</f>
        <v>0</v>
      </c>
      <c r="V261" s="64"/>
      <c r="W261" s="64"/>
      <c r="X261" s="41">
        <f t="shared" si="157"/>
        <v>0</v>
      </c>
      <c r="Y261" s="64"/>
      <c r="Z261" s="41">
        <f t="shared" si="158"/>
        <v>0</v>
      </c>
      <c r="AA261" s="42">
        <f t="shared" si="159"/>
        <v>0</v>
      </c>
      <c r="AB261" s="258"/>
      <c r="AC261" s="258"/>
      <c r="AD261" s="258"/>
    </row>
    <row r="262" spans="1:31" ht="26.25" thickBot="1" x14ac:dyDescent="0.3">
      <c r="F262" s="92" t="s">
        <v>186</v>
      </c>
      <c r="G262" s="44">
        <v>3132</v>
      </c>
      <c r="H262" s="68">
        <f t="shared" si="156"/>
        <v>300000</v>
      </c>
      <c r="I262" s="94"/>
      <c r="J262" s="48"/>
      <c r="K262" s="61">
        <v>100000</v>
      </c>
      <c r="L262" s="48"/>
      <c r="M262" s="48"/>
      <c r="N262" s="48"/>
      <c r="O262" s="48"/>
      <c r="P262" s="61">
        <v>100000</v>
      </c>
      <c r="Q262" s="61">
        <v>100000</v>
      </c>
      <c r="R262" s="48"/>
      <c r="S262" s="48"/>
      <c r="T262" s="231"/>
      <c r="U262" s="39">
        <f t="shared" si="160"/>
        <v>100000</v>
      </c>
      <c r="V262" s="64"/>
      <c r="W262" s="64"/>
      <c r="X262" s="41">
        <f t="shared" si="157"/>
        <v>0</v>
      </c>
      <c r="Y262" s="64"/>
      <c r="Z262" s="41">
        <f t="shared" si="158"/>
        <v>0</v>
      </c>
      <c r="AA262" s="42">
        <f t="shared" si="159"/>
        <v>-100000</v>
      </c>
      <c r="AB262" s="258"/>
      <c r="AC262" s="258"/>
      <c r="AD262" s="258"/>
    </row>
    <row r="263" spans="1:31" ht="64.5" thickBot="1" x14ac:dyDescent="0.3">
      <c r="F263" s="92" t="s">
        <v>282</v>
      </c>
      <c r="G263" s="44">
        <v>3132</v>
      </c>
      <c r="H263" s="68">
        <f t="shared" si="156"/>
        <v>136446.70000000001</v>
      </c>
      <c r="I263" s="94"/>
      <c r="J263" s="48"/>
      <c r="K263" s="61">
        <v>136446.70000000001</v>
      </c>
      <c r="L263" s="48"/>
      <c r="M263" s="48"/>
      <c r="N263" s="48"/>
      <c r="O263" s="48"/>
      <c r="P263" s="48"/>
      <c r="Q263" s="48"/>
      <c r="R263" s="48"/>
      <c r="S263" s="48"/>
      <c r="T263" s="231"/>
      <c r="U263" s="39">
        <f t="shared" si="160"/>
        <v>136446.70000000001</v>
      </c>
      <c r="X263" s="41">
        <f t="shared" si="157"/>
        <v>0</v>
      </c>
      <c r="Z263" s="41">
        <f t="shared" si="158"/>
        <v>0</v>
      </c>
      <c r="AA263" s="42">
        <f t="shared" si="159"/>
        <v>-136446.70000000001</v>
      </c>
      <c r="AB263" s="258"/>
      <c r="AC263" s="258"/>
      <c r="AD263" s="258"/>
    </row>
    <row r="264" spans="1:31" ht="16.5" thickBot="1" x14ac:dyDescent="0.3">
      <c r="F264" s="95" t="s">
        <v>187</v>
      </c>
      <c r="H264" s="90">
        <f>SUM(H256:H261)</f>
        <v>800000</v>
      </c>
      <c r="I264" s="90">
        <f t="shared" ref="I264:AA264" si="161">SUM(I256:I261)</f>
        <v>80000</v>
      </c>
      <c r="J264" s="90">
        <f t="shared" si="161"/>
        <v>100000</v>
      </c>
      <c r="K264" s="90">
        <f t="shared" si="161"/>
        <v>0</v>
      </c>
      <c r="L264" s="90">
        <f t="shared" si="161"/>
        <v>100000</v>
      </c>
      <c r="M264" s="90">
        <f t="shared" si="161"/>
        <v>100000</v>
      </c>
      <c r="N264" s="90">
        <f t="shared" si="161"/>
        <v>100000</v>
      </c>
      <c r="O264" s="90">
        <f t="shared" si="161"/>
        <v>100000</v>
      </c>
      <c r="P264" s="90">
        <f t="shared" si="161"/>
        <v>0</v>
      </c>
      <c r="Q264" s="90">
        <f t="shared" si="161"/>
        <v>0</v>
      </c>
      <c r="R264" s="90">
        <f t="shared" si="161"/>
        <v>77000</v>
      </c>
      <c r="S264" s="90">
        <f t="shared" si="161"/>
        <v>76500</v>
      </c>
      <c r="T264" s="245">
        <f t="shared" si="161"/>
        <v>66500</v>
      </c>
      <c r="U264" s="90">
        <f t="shared" si="161"/>
        <v>580000</v>
      </c>
      <c r="V264" s="90">
        <f t="shared" si="161"/>
        <v>0</v>
      </c>
      <c r="W264" s="90">
        <f t="shared" si="161"/>
        <v>0</v>
      </c>
      <c r="X264" s="90">
        <f t="shared" si="161"/>
        <v>0</v>
      </c>
      <c r="Y264" s="90">
        <f t="shared" si="161"/>
        <v>3200</v>
      </c>
      <c r="Z264" s="90">
        <f t="shared" si="161"/>
        <v>3200</v>
      </c>
      <c r="AA264" s="90">
        <f t="shared" si="161"/>
        <v>-576800</v>
      </c>
      <c r="AB264" s="271"/>
      <c r="AC264" s="271"/>
      <c r="AD264" s="271"/>
    </row>
    <row r="265" spans="1:31" ht="16.5" thickBot="1" x14ac:dyDescent="0.3">
      <c r="F265" s="95" t="s">
        <v>188</v>
      </c>
      <c r="H265" s="90">
        <f>H262+H263</f>
        <v>436446.7</v>
      </c>
      <c r="I265" s="90">
        <f t="shared" ref="I265:AA265" si="162">I262+I263</f>
        <v>0</v>
      </c>
      <c r="J265" s="90">
        <f t="shared" si="162"/>
        <v>0</v>
      </c>
      <c r="K265" s="90">
        <f t="shared" si="162"/>
        <v>236446.7</v>
      </c>
      <c r="L265" s="90">
        <f t="shared" si="162"/>
        <v>0</v>
      </c>
      <c r="M265" s="90">
        <f t="shared" si="162"/>
        <v>0</v>
      </c>
      <c r="N265" s="90">
        <f t="shared" si="162"/>
        <v>0</v>
      </c>
      <c r="O265" s="90">
        <f t="shared" si="162"/>
        <v>0</v>
      </c>
      <c r="P265" s="90">
        <f t="shared" si="162"/>
        <v>100000</v>
      </c>
      <c r="Q265" s="90">
        <f t="shared" si="162"/>
        <v>100000</v>
      </c>
      <c r="R265" s="90">
        <f t="shared" si="162"/>
        <v>0</v>
      </c>
      <c r="S265" s="90">
        <f t="shared" si="162"/>
        <v>0</v>
      </c>
      <c r="T265" s="245">
        <f t="shared" si="162"/>
        <v>0</v>
      </c>
      <c r="U265" s="90">
        <f t="shared" si="162"/>
        <v>236446.7</v>
      </c>
      <c r="V265" s="90">
        <f t="shared" si="162"/>
        <v>0</v>
      </c>
      <c r="W265" s="90">
        <f t="shared" si="162"/>
        <v>0</v>
      </c>
      <c r="X265" s="90">
        <f t="shared" si="162"/>
        <v>0</v>
      </c>
      <c r="Y265" s="90">
        <f t="shared" si="162"/>
        <v>0</v>
      </c>
      <c r="Z265" s="90">
        <f t="shared" si="162"/>
        <v>0</v>
      </c>
      <c r="AA265" s="90">
        <f t="shared" si="162"/>
        <v>-236446.7</v>
      </c>
      <c r="AB265" s="271"/>
      <c r="AC265" s="271"/>
      <c r="AD265" s="271"/>
    </row>
    <row r="266" spans="1:31" ht="15.75" thickBot="1" x14ac:dyDescent="0.3">
      <c r="F266" s="79" t="s">
        <v>190</v>
      </c>
      <c r="G266" s="79"/>
      <c r="H266" s="89">
        <f>H265+H264</f>
        <v>1236446.7</v>
      </c>
      <c r="I266" s="89">
        <f t="shared" ref="I266:AA266" si="163">I265+I264</f>
        <v>80000</v>
      </c>
      <c r="J266" s="89">
        <f t="shared" si="163"/>
        <v>100000</v>
      </c>
      <c r="K266" s="89">
        <f t="shared" si="163"/>
        <v>236446.7</v>
      </c>
      <c r="L266" s="89">
        <f t="shared" si="163"/>
        <v>100000</v>
      </c>
      <c r="M266" s="89">
        <f t="shared" si="163"/>
        <v>100000</v>
      </c>
      <c r="N266" s="89">
        <f t="shared" si="163"/>
        <v>100000</v>
      </c>
      <c r="O266" s="89">
        <f t="shared" si="163"/>
        <v>100000</v>
      </c>
      <c r="P266" s="89">
        <f t="shared" si="163"/>
        <v>100000</v>
      </c>
      <c r="Q266" s="89">
        <f t="shared" si="163"/>
        <v>100000</v>
      </c>
      <c r="R266" s="89">
        <f t="shared" si="163"/>
        <v>77000</v>
      </c>
      <c r="S266" s="89">
        <f t="shared" si="163"/>
        <v>76500</v>
      </c>
      <c r="T266" s="243">
        <f t="shared" si="163"/>
        <v>66500</v>
      </c>
      <c r="U266" s="89">
        <f t="shared" si="163"/>
        <v>816446.7</v>
      </c>
      <c r="V266" s="89">
        <f t="shared" si="163"/>
        <v>0</v>
      </c>
      <c r="W266" s="89">
        <f t="shared" si="163"/>
        <v>0</v>
      </c>
      <c r="X266" s="89">
        <f t="shared" si="163"/>
        <v>0</v>
      </c>
      <c r="Y266" s="89">
        <f t="shared" si="163"/>
        <v>3200</v>
      </c>
      <c r="Z266" s="89">
        <f t="shared" si="163"/>
        <v>3200</v>
      </c>
      <c r="AA266" s="89">
        <f t="shared" si="163"/>
        <v>-813246.7</v>
      </c>
      <c r="AB266" s="266"/>
      <c r="AC266" s="266"/>
      <c r="AD266" s="266"/>
    </row>
    <row r="267" spans="1:31" ht="16.5" customHeight="1" thickBot="1" x14ac:dyDescent="0.3">
      <c r="F267" s="473" t="s">
        <v>283</v>
      </c>
      <c r="G267" s="474"/>
      <c r="H267" s="57">
        <f>H263</f>
        <v>136446.70000000001</v>
      </c>
      <c r="I267" s="57">
        <f t="shared" ref="I267:AA267" si="164">I263</f>
        <v>0</v>
      </c>
      <c r="J267" s="57">
        <f t="shared" si="164"/>
        <v>0</v>
      </c>
      <c r="K267" s="57">
        <f t="shared" si="164"/>
        <v>136446.70000000001</v>
      </c>
      <c r="L267" s="57">
        <f t="shared" si="164"/>
        <v>0</v>
      </c>
      <c r="M267" s="57">
        <f t="shared" si="164"/>
        <v>0</v>
      </c>
      <c r="N267" s="57">
        <f t="shared" si="164"/>
        <v>0</v>
      </c>
      <c r="O267" s="57">
        <f t="shared" si="164"/>
        <v>0</v>
      </c>
      <c r="P267" s="57">
        <f t="shared" si="164"/>
        <v>0</v>
      </c>
      <c r="Q267" s="57">
        <f t="shared" si="164"/>
        <v>0</v>
      </c>
      <c r="R267" s="57">
        <f t="shared" si="164"/>
        <v>0</v>
      </c>
      <c r="S267" s="57">
        <f t="shared" si="164"/>
        <v>0</v>
      </c>
      <c r="T267" s="165">
        <f t="shared" si="164"/>
        <v>0</v>
      </c>
      <c r="U267" s="39">
        <f>I267+J267+K267+L267+M267</f>
        <v>136446.70000000001</v>
      </c>
      <c r="V267" s="57">
        <f t="shared" si="164"/>
        <v>0</v>
      </c>
      <c r="W267" s="57">
        <f t="shared" si="164"/>
        <v>0</v>
      </c>
      <c r="X267" s="57">
        <f t="shared" si="164"/>
        <v>0</v>
      </c>
      <c r="Y267" s="57">
        <f t="shared" si="164"/>
        <v>0</v>
      </c>
      <c r="Z267" s="57">
        <f t="shared" si="164"/>
        <v>0</v>
      </c>
      <c r="AA267" s="57">
        <f t="shared" si="164"/>
        <v>-136446.70000000001</v>
      </c>
      <c r="AB267" s="272"/>
      <c r="AC267" s="272"/>
      <c r="AD267" s="272"/>
    </row>
    <row r="268" spans="1:31" ht="35.25" thickTop="1" thickBot="1" x14ac:dyDescent="0.3">
      <c r="A268" s="3" t="s">
        <v>0</v>
      </c>
      <c r="B268" s="3" t="s">
        <v>1</v>
      </c>
      <c r="C268" s="3"/>
      <c r="D268" s="4" t="s">
        <v>3</v>
      </c>
      <c r="E268" s="83">
        <v>3117670</v>
      </c>
      <c r="F268" s="445" t="s">
        <v>193</v>
      </c>
      <c r="G268" s="446"/>
      <c r="H268" s="7" t="s">
        <v>155</v>
      </c>
      <c r="I268" s="8" t="s">
        <v>7</v>
      </c>
      <c r="J268" s="9" t="s">
        <v>8</v>
      </c>
      <c r="K268" s="9" t="s">
        <v>9</v>
      </c>
      <c r="L268" s="8" t="s">
        <v>10</v>
      </c>
      <c r="M268" s="8" t="s">
        <v>11</v>
      </c>
      <c r="N268" s="10" t="s">
        <v>12</v>
      </c>
      <c r="O268" s="11" t="s">
        <v>13</v>
      </c>
      <c r="P268" s="12" t="s">
        <v>14</v>
      </c>
      <c r="Q268" s="12" t="s">
        <v>15</v>
      </c>
      <c r="R268" s="13" t="s">
        <v>16</v>
      </c>
      <c r="S268" s="8" t="s">
        <v>17</v>
      </c>
      <c r="T268" s="221" t="s">
        <v>18</v>
      </c>
      <c r="U268" s="7" t="s">
        <v>426</v>
      </c>
      <c r="V268" s="7" t="s">
        <v>19</v>
      </c>
      <c r="W268" s="7" t="s">
        <v>20</v>
      </c>
      <c r="X268" s="7" t="s">
        <v>21</v>
      </c>
      <c r="Y268" s="5" t="s">
        <v>22</v>
      </c>
      <c r="Z268" s="14" t="s">
        <v>23</v>
      </c>
      <c r="AA268" s="14" t="s">
        <v>24</v>
      </c>
      <c r="AB268" s="255"/>
      <c r="AC268" s="255"/>
      <c r="AD268" s="255"/>
    </row>
    <row r="269" spans="1:31" ht="27" thickTop="1" thickBot="1" x14ac:dyDescent="0.3">
      <c r="F269" s="297" t="s">
        <v>373</v>
      </c>
      <c r="G269" s="298"/>
      <c r="H269" s="197">
        <f t="shared" ref="H269:H288" si="165">SUM(I269:T269)</f>
        <v>1785205</v>
      </c>
      <c r="I269" s="201">
        <f>1785204.38+0.62</f>
        <v>1785205</v>
      </c>
      <c r="J269" s="201"/>
      <c r="K269" s="201"/>
      <c r="L269" s="201"/>
      <c r="M269" s="201"/>
      <c r="N269" s="201"/>
      <c r="O269" s="201"/>
      <c r="P269" s="201"/>
      <c r="Q269" s="201"/>
      <c r="R269" s="201"/>
      <c r="S269" s="201"/>
      <c r="T269" s="201"/>
      <c r="U269" s="39">
        <f>I269+J269+K269+L269+M269+N269+O269</f>
        <v>1785205</v>
      </c>
      <c r="V269" s="125">
        <f>1785204.38</f>
        <v>1785204.38</v>
      </c>
      <c r="W269" s="125">
        <f>1785204.38</f>
        <v>1785204.38</v>
      </c>
      <c r="X269" s="41">
        <f t="shared" ref="X269:X274" si="166">W269-V269</f>
        <v>0</v>
      </c>
      <c r="Y269" s="125">
        <f>1785204.38</f>
        <v>1785204.38</v>
      </c>
      <c r="Z269" s="41">
        <f t="shared" ref="Z269:Z274" si="167">Y269-V269</f>
        <v>0</v>
      </c>
      <c r="AA269" s="177">
        <f t="shared" ref="AA269:AA274" si="168">Y269-U269</f>
        <v>-0.62000000011175871</v>
      </c>
      <c r="AB269" s="264"/>
      <c r="AC269" s="264"/>
      <c r="AD269" s="264"/>
    </row>
    <row r="270" spans="1:31" ht="26.25" thickBot="1" x14ac:dyDescent="0.3">
      <c r="F270" s="299" t="s">
        <v>194</v>
      </c>
      <c r="G270" s="198">
        <v>3210</v>
      </c>
      <c r="H270" s="197">
        <f t="shared" si="165"/>
        <v>4700000</v>
      </c>
      <c r="I270" s="201">
        <f>478000-400000</f>
        <v>78000</v>
      </c>
      <c r="J270" s="201">
        <v>78000</v>
      </c>
      <c r="K270" s="201">
        <v>78000</v>
      </c>
      <c r="L270" s="201">
        <f t="shared" ref="L270:M270" si="169">800000-800000</f>
        <v>0</v>
      </c>
      <c r="M270" s="201">
        <f t="shared" si="169"/>
        <v>0</v>
      </c>
      <c r="N270" s="201">
        <f>800000-800000</f>
        <v>0</v>
      </c>
      <c r="O270" s="201">
        <v>800000</v>
      </c>
      <c r="P270" s="201">
        <v>554000</v>
      </c>
      <c r="Q270" s="201">
        <f>78000+800000</f>
        <v>878000</v>
      </c>
      <c r="R270" s="201">
        <f>78000+1000000</f>
        <v>1078000</v>
      </c>
      <c r="S270" s="201">
        <f>78000+1000000</f>
        <v>1078000</v>
      </c>
      <c r="T270" s="201">
        <v>78000</v>
      </c>
      <c r="U270" s="39">
        <f t="shared" ref="U270:U274" si="170">I270+J270+K270+L270+M270+N270+O270</f>
        <v>1034000</v>
      </c>
      <c r="V270" s="125">
        <f>77111.11+77111.11</f>
        <v>154222.22</v>
      </c>
      <c r="W270" s="125">
        <f>77111.11</f>
        <v>77111.11</v>
      </c>
      <c r="X270" s="41">
        <f t="shared" si="166"/>
        <v>-77111.11</v>
      </c>
      <c r="Y270" s="125">
        <f>77111.11+77111.11*2</f>
        <v>231333.33000000002</v>
      </c>
      <c r="Z270" s="41">
        <f t="shared" si="167"/>
        <v>77111.110000000015</v>
      </c>
      <c r="AA270" s="177">
        <f>Y270-U270</f>
        <v>-802666.66999999993</v>
      </c>
      <c r="AB270" s="264"/>
      <c r="AC270" s="264"/>
      <c r="AD270" s="264"/>
      <c r="AE270">
        <f>O270*3</f>
        <v>2400000</v>
      </c>
    </row>
    <row r="271" spans="1:31" ht="39" thickBot="1" x14ac:dyDescent="0.3">
      <c r="F271" s="299" t="s">
        <v>195</v>
      </c>
      <c r="G271" s="198">
        <v>3210</v>
      </c>
      <c r="H271" s="197">
        <f t="shared" si="165"/>
        <v>800000</v>
      </c>
      <c r="I271" s="201"/>
      <c r="J271" s="201"/>
      <c r="K271" s="201"/>
      <c r="L271" s="201"/>
      <c r="M271" s="201"/>
      <c r="N271" s="201"/>
      <c r="O271" s="201"/>
      <c r="P271" s="201">
        <f>500000</f>
        <v>500000</v>
      </c>
      <c r="Q271" s="201">
        <v>300000</v>
      </c>
      <c r="R271" s="201"/>
      <c r="S271" s="201"/>
      <c r="T271" s="201"/>
      <c r="U271" s="39">
        <f t="shared" si="170"/>
        <v>0</v>
      </c>
      <c r="V271" s="125"/>
      <c r="W271" s="125"/>
      <c r="X271" s="41">
        <f t="shared" si="166"/>
        <v>0</v>
      </c>
      <c r="Y271" s="125"/>
      <c r="Z271" s="41">
        <f t="shared" si="167"/>
        <v>0</v>
      </c>
      <c r="AA271" s="177">
        <f t="shared" si="168"/>
        <v>0</v>
      </c>
      <c r="AB271" s="264"/>
      <c r="AC271" s="264"/>
      <c r="AD271" s="264"/>
      <c r="AE271" s="103"/>
    </row>
    <row r="272" spans="1:31" ht="26.25" thickBot="1" x14ac:dyDescent="0.3">
      <c r="F272" s="299" t="s">
        <v>196</v>
      </c>
      <c r="G272" s="198">
        <v>3210</v>
      </c>
      <c r="H272" s="197">
        <f t="shared" si="165"/>
        <v>750000</v>
      </c>
      <c r="I272" s="201"/>
      <c r="J272" s="201"/>
      <c r="K272" s="201"/>
      <c r="L272" s="201"/>
      <c r="M272" s="201"/>
      <c r="N272" s="201"/>
      <c r="O272" s="201"/>
      <c r="P272" s="201">
        <v>130000</v>
      </c>
      <c r="Q272" s="201">
        <v>620000</v>
      </c>
      <c r="R272" s="201"/>
      <c r="S272" s="201"/>
      <c r="T272" s="201"/>
      <c r="U272" s="39">
        <f t="shared" si="170"/>
        <v>0</v>
      </c>
      <c r="V272" s="125"/>
      <c r="W272" s="125"/>
      <c r="X272" s="41">
        <f t="shared" si="166"/>
        <v>0</v>
      </c>
      <c r="Y272" s="125"/>
      <c r="Z272" s="41">
        <f t="shared" si="167"/>
        <v>0</v>
      </c>
      <c r="AA272" s="177">
        <f t="shared" si="168"/>
        <v>0</v>
      </c>
      <c r="AB272" s="264"/>
      <c r="AC272" s="264"/>
      <c r="AD272" s="264"/>
    </row>
    <row r="273" spans="1:30" ht="51.75" thickBot="1" x14ac:dyDescent="0.3">
      <c r="A273" t="s">
        <v>387</v>
      </c>
      <c r="B273" s="120">
        <v>44701</v>
      </c>
      <c r="D273" t="s">
        <v>390</v>
      </c>
      <c r="F273" s="97" t="s">
        <v>382</v>
      </c>
      <c r="G273" s="98">
        <v>3210</v>
      </c>
      <c r="H273" s="68">
        <f t="shared" si="165"/>
        <v>11314795</v>
      </c>
      <c r="I273" s="202">
        <f>214795+400000</f>
        <v>614795</v>
      </c>
      <c r="J273" s="200">
        <v>800000</v>
      </c>
      <c r="K273" s="200">
        <f>1000000+200000</f>
        <v>1200000</v>
      </c>
      <c r="L273" s="200">
        <f>1000000+800000</f>
        <v>1800000</v>
      </c>
      <c r="M273" s="200">
        <f>1000000+800000</f>
        <v>1800000</v>
      </c>
      <c r="N273" s="200">
        <f>1400000+800000</f>
        <v>2200000</v>
      </c>
      <c r="O273" s="200">
        <v>1500000</v>
      </c>
      <c r="P273" s="200">
        <v>1000000</v>
      </c>
      <c r="Q273" s="200">
        <f>1000000+200000-200000-800000</f>
        <v>200000</v>
      </c>
      <c r="R273" s="200"/>
      <c r="S273" s="200">
        <v>200000</v>
      </c>
      <c r="T273" s="202"/>
      <c r="U273" s="39">
        <f t="shared" si="170"/>
        <v>9914795</v>
      </c>
      <c r="V273" s="125">
        <f>3000000</f>
        <v>3000000</v>
      </c>
      <c r="W273" s="125">
        <f>3000000</f>
        <v>3000000</v>
      </c>
      <c r="X273" s="41">
        <f t="shared" si="166"/>
        <v>0</v>
      </c>
      <c r="Y273" s="125">
        <f>3000000</f>
        <v>3000000</v>
      </c>
      <c r="Z273" s="41">
        <f t="shared" si="167"/>
        <v>0</v>
      </c>
      <c r="AA273" s="42">
        <f t="shared" si="168"/>
        <v>-6914795</v>
      </c>
      <c r="AB273" s="258"/>
      <c r="AC273" s="258">
        <v>8314795</v>
      </c>
      <c r="AD273" s="258"/>
    </row>
    <row r="274" spans="1:30" ht="51.75" thickBot="1" x14ac:dyDescent="0.3">
      <c r="A274" t="s">
        <v>388</v>
      </c>
      <c r="B274" s="120">
        <v>44699</v>
      </c>
      <c r="D274" t="s">
        <v>389</v>
      </c>
      <c r="F274" s="97" t="s">
        <v>383</v>
      </c>
      <c r="G274" s="98">
        <v>3210</v>
      </c>
      <c r="H274" s="68">
        <f t="shared" si="165"/>
        <v>55000000</v>
      </c>
      <c r="I274" s="200">
        <f>500000+218000</f>
        <v>718000</v>
      </c>
      <c r="J274" s="200">
        <f>1000000+500000</f>
        <v>1500000</v>
      </c>
      <c r="K274" s="200">
        <f>1000000+1068000</f>
        <v>2068000</v>
      </c>
      <c r="L274" s="200">
        <f>2500000+835000</f>
        <v>3335000</v>
      </c>
      <c r="M274" s="200">
        <v>2250000</v>
      </c>
      <c r="N274" s="200">
        <f>2000000+6384500</f>
        <v>8384500</v>
      </c>
      <c r="O274" s="202">
        <f>2000000+3293613</f>
        <v>5293613</v>
      </c>
      <c r="P274" s="200">
        <f>2000000+2900000</f>
        <v>4900000</v>
      </c>
      <c r="Q274" s="200">
        <f>1000000+2000000+4312387</f>
        <v>7312387</v>
      </c>
      <c r="R274" s="200">
        <f>3000000+2733500</f>
        <v>5733500</v>
      </c>
      <c r="S274" s="200">
        <v>7230000</v>
      </c>
      <c r="T274" s="200">
        <v>6275000</v>
      </c>
      <c r="U274" s="39">
        <f t="shared" si="170"/>
        <v>23549113</v>
      </c>
      <c r="V274" s="125">
        <f>18255500</f>
        <v>18255500</v>
      </c>
      <c r="W274" s="125">
        <f>18255500</f>
        <v>18255500</v>
      </c>
      <c r="X274" s="41">
        <f t="shared" si="166"/>
        <v>0</v>
      </c>
      <c r="Y274" s="125">
        <f>18255500</f>
        <v>18255500</v>
      </c>
      <c r="Z274" s="41">
        <f t="shared" si="167"/>
        <v>0</v>
      </c>
      <c r="AA274" s="42">
        <f t="shared" si="168"/>
        <v>-5293613</v>
      </c>
      <c r="AB274" s="258"/>
      <c r="AC274" s="258">
        <f>AC273+AA273</f>
        <v>1400000</v>
      </c>
      <c r="AD274" s="258"/>
    </row>
    <row r="275" spans="1:30" ht="15.75" thickBot="1" x14ac:dyDescent="0.3">
      <c r="F275" s="195" t="s">
        <v>374</v>
      </c>
      <c r="G275" s="196"/>
      <c r="H275" s="136">
        <f>H274+H273</f>
        <v>66314795</v>
      </c>
      <c r="I275" s="136">
        <f t="shared" ref="I275:Z275" si="171">I274+I273</f>
        <v>1332795</v>
      </c>
      <c r="J275" s="136">
        <f t="shared" si="171"/>
        <v>2300000</v>
      </c>
      <c r="K275" s="136">
        <f t="shared" si="171"/>
        <v>3268000</v>
      </c>
      <c r="L275" s="136">
        <f t="shared" si="171"/>
        <v>5135000</v>
      </c>
      <c r="M275" s="136">
        <f t="shared" si="171"/>
        <v>4050000</v>
      </c>
      <c r="N275" s="136">
        <f t="shared" si="171"/>
        <v>10584500</v>
      </c>
      <c r="O275" s="136">
        <f t="shared" si="171"/>
        <v>6793613</v>
      </c>
      <c r="P275" s="136">
        <f t="shared" si="171"/>
        <v>5900000</v>
      </c>
      <c r="Q275" s="136">
        <f t="shared" si="171"/>
        <v>7512387</v>
      </c>
      <c r="R275" s="136">
        <f t="shared" si="171"/>
        <v>5733500</v>
      </c>
      <c r="S275" s="136">
        <f t="shared" si="171"/>
        <v>7430000</v>
      </c>
      <c r="T275" s="165">
        <f t="shared" si="171"/>
        <v>6275000</v>
      </c>
      <c r="U275" s="136">
        <f t="shared" si="171"/>
        <v>33463908</v>
      </c>
      <c r="V275" s="136">
        <f t="shared" si="171"/>
        <v>21255500</v>
      </c>
      <c r="W275" s="136">
        <f t="shared" si="171"/>
        <v>21255500</v>
      </c>
      <c r="X275" s="136">
        <f t="shared" si="171"/>
        <v>0</v>
      </c>
      <c r="Y275" s="136">
        <f t="shared" si="171"/>
        <v>21255500</v>
      </c>
      <c r="Z275" s="136">
        <f t="shared" si="171"/>
        <v>0</v>
      </c>
      <c r="AA275" s="136">
        <f>AA274+AA273</f>
        <v>-12208408</v>
      </c>
      <c r="AB275" s="269"/>
      <c r="AC275" s="269"/>
      <c r="AD275" s="269"/>
    </row>
    <row r="276" spans="1:30" ht="26.25" thickBot="1" x14ac:dyDescent="0.3">
      <c r="F276" s="195" t="s">
        <v>375</v>
      </c>
      <c r="G276" s="196"/>
      <c r="H276" s="136">
        <f>H269+H270+H271+H272</f>
        <v>8035205</v>
      </c>
      <c r="I276" s="136">
        <f t="shared" ref="I276:AA276" si="172">I269+I270+I271+I272</f>
        <v>1863205</v>
      </c>
      <c r="J276" s="136">
        <f t="shared" si="172"/>
        <v>78000</v>
      </c>
      <c r="K276" s="136">
        <f t="shared" si="172"/>
        <v>78000</v>
      </c>
      <c r="L276" s="136">
        <f t="shared" si="172"/>
        <v>0</v>
      </c>
      <c r="M276" s="136">
        <f t="shared" si="172"/>
        <v>0</v>
      </c>
      <c r="N276" s="136">
        <f t="shared" si="172"/>
        <v>0</v>
      </c>
      <c r="O276" s="136">
        <f t="shared" si="172"/>
        <v>800000</v>
      </c>
      <c r="P276" s="136">
        <f t="shared" si="172"/>
        <v>1184000</v>
      </c>
      <c r="Q276" s="136">
        <f t="shared" si="172"/>
        <v>1798000</v>
      </c>
      <c r="R276" s="136">
        <f t="shared" si="172"/>
        <v>1078000</v>
      </c>
      <c r="S276" s="136">
        <f t="shared" si="172"/>
        <v>1078000</v>
      </c>
      <c r="T276" s="165">
        <f t="shared" si="172"/>
        <v>78000</v>
      </c>
      <c r="U276" s="136">
        <f t="shared" si="172"/>
        <v>2819205</v>
      </c>
      <c r="V276" s="136">
        <f t="shared" si="172"/>
        <v>1939426.5999999999</v>
      </c>
      <c r="W276" s="136">
        <f t="shared" si="172"/>
        <v>1862315.49</v>
      </c>
      <c r="X276" s="136">
        <f t="shared" si="172"/>
        <v>-77111.11</v>
      </c>
      <c r="Y276" s="136">
        <f t="shared" si="172"/>
        <v>2016537.71</v>
      </c>
      <c r="Z276" s="136">
        <f t="shared" si="172"/>
        <v>77111.110000000015</v>
      </c>
      <c r="AA276" s="136">
        <f t="shared" si="172"/>
        <v>-802667.29</v>
      </c>
      <c r="AB276" s="269"/>
      <c r="AC276" s="269"/>
      <c r="AD276" s="269"/>
    </row>
    <row r="277" spans="1:30" ht="15.75" thickBot="1" x14ac:dyDescent="0.3">
      <c r="F277" s="79" t="s">
        <v>250</v>
      </c>
      <c r="H277" s="89">
        <f>H276+H275</f>
        <v>74350000</v>
      </c>
      <c r="I277" s="89">
        <f t="shared" ref="I277:AA277" si="173">I276+I275</f>
        <v>3196000</v>
      </c>
      <c r="J277" s="89">
        <f t="shared" si="173"/>
        <v>2378000</v>
      </c>
      <c r="K277" s="89">
        <f t="shared" si="173"/>
        <v>3346000</v>
      </c>
      <c r="L277" s="89">
        <f t="shared" si="173"/>
        <v>5135000</v>
      </c>
      <c r="M277" s="89">
        <f t="shared" si="173"/>
        <v>4050000</v>
      </c>
      <c r="N277" s="89">
        <f t="shared" si="173"/>
        <v>10584500</v>
      </c>
      <c r="O277" s="89">
        <f t="shared" si="173"/>
        <v>7593613</v>
      </c>
      <c r="P277" s="89">
        <f t="shared" si="173"/>
        <v>7084000</v>
      </c>
      <c r="Q277" s="89">
        <f t="shared" si="173"/>
        <v>9310387</v>
      </c>
      <c r="R277" s="89">
        <f t="shared" si="173"/>
        <v>6811500</v>
      </c>
      <c r="S277" s="89">
        <f t="shared" si="173"/>
        <v>8508000</v>
      </c>
      <c r="T277" s="243">
        <f t="shared" si="173"/>
        <v>6353000</v>
      </c>
      <c r="U277" s="89">
        <f t="shared" si="173"/>
        <v>36283113</v>
      </c>
      <c r="V277" s="89">
        <f t="shared" si="173"/>
        <v>23194926.600000001</v>
      </c>
      <c r="W277" s="89">
        <f t="shared" si="173"/>
        <v>23117815.489999998</v>
      </c>
      <c r="X277" s="89">
        <f t="shared" si="173"/>
        <v>-77111.11</v>
      </c>
      <c r="Y277" s="89">
        <f t="shared" si="173"/>
        <v>23272037.710000001</v>
      </c>
      <c r="Z277" s="89">
        <f t="shared" si="173"/>
        <v>77111.110000000015</v>
      </c>
      <c r="AA277" s="89">
        <f t="shared" si="173"/>
        <v>-13011075.289999999</v>
      </c>
      <c r="AB277" s="266"/>
      <c r="AC277" s="266"/>
      <c r="AD277" s="266"/>
    </row>
    <row r="278" spans="1:30" ht="35.25" customHeight="1" thickTop="1" thickBot="1" x14ac:dyDescent="0.3">
      <c r="A278" s="3" t="s">
        <v>0</v>
      </c>
      <c r="B278" s="3" t="s">
        <v>1</v>
      </c>
      <c r="C278" s="3"/>
      <c r="D278" s="4" t="s">
        <v>3</v>
      </c>
      <c r="E278" s="83">
        <v>3118311</v>
      </c>
      <c r="F278" s="445" t="s">
        <v>179</v>
      </c>
      <c r="G278" s="446"/>
      <c r="H278" s="7" t="s">
        <v>155</v>
      </c>
      <c r="I278" s="8" t="s">
        <v>7</v>
      </c>
      <c r="J278" s="9" t="s">
        <v>8</v>
      </c>
      <c r="K278" s="9" t="s">
        <v>9</v>
      </c>
      <c r="L278" s="8" t="s">
        <v>10</v>
      </c>
      <c r="M278" s="8" t="s">
        <v>11</v>
      </c>
      <c r="N278" s="10" t="s">
        <v>12</v>
      </c>
      <c r="O278" s="11" t="s">
        <v>13</v>
      </c>
      <c r="P278" s="12" t="s">
        <v>14</v>
      </c>
      <c r="Q278" s="12" t="s">
        <v>15</v>
      </c>
      <c r="R278" s="13" t="s">
        <v>16</v>
      </c>
      <c r="S278" s="8" t="s">
        <v>17</v>
      </c>
      <c r="T278" s="221" t="s">
        <v>18</v>
      </c>
      <c r="U278" s="7" t="s">
        <v>426</v>
      </c>
      <c r="V278" s="7" t="s">
        <v>19</v>
      </c>
      <c r="W278" s="7" t="s">
        <v>20</v>
      </c>
      <c r="X278" s="7" t="s">
        <v>21</v>
      </c>
      <c r="Y278" s="5" t="s">
        <v>22</v>
      </c>
      <c r="Z278" s="14" t="s">
        <v>23</v>
      </c>
      <c r="AA278" s="14" t="s">
        <v>24</v>
      </c>
      <c r="AB278" s="255"/>
      <c r="AC278" s="255"/>
      <c r="AD278" s="255"/>
    </row>
    <row r="279" spans="1:30" ht="25.5" customHeight="1" thickTop="1" thickBot="1" x14ac:dyDescent="0.3">
      <c r="F279" s="471" t="s">
        <v>197</v>
      </c>
      <c r="G279" s="475"/>
      <c r="H279" s="68">
        <f t="shared" si="165"/>
        <v>0</v>
      </c>
      <c r="U279" s="39"/>
      <c r="V279" s="64"/>
      <c r="W279" s="64"/>
      <c r="X279" s="41"/>
      <c r="Y279" s="64"/>
      <c r="Z279" s="41"/>
      <c r="AA279" s="42">
        <f t="shared" ref="AA279:AA288" si="174">Y279-U279</f>
        <v>0</v>
      </c>
      <c r="AB279" s="258"/>
      <c r="AC279" s="258"/>
      <c r="AD279" s="258"/>
    </row>
    <row r="280" spans="1:30" ht="26.25" thickBot="1" x14ac:dyDescent="0.3">
      <c r="F280" s="45" t="s">
        <v>198</v>
      </c>
      <c r="G280" s="63">
        <v>2240</v>
      </c>
      <c r="H280" s="68">
        <f t="shared" si="165"/>
        <v>199000</v>
      </c>
      <c r="I280" s="61">
        <v>29500</v>
      </c>
      <c r="J280" s="61">
        <v>29500</v>
      </c>
      <c r="K280" s="61">
        <v>29500</v>
      </c>
      <c r="L280" s="61">
        <v>29500</v>
      </c>
      <c r="M280" s="61">
        <v>29000</v>
      </c>
      <c r="N280" s="61">
        <v>22500</v>
      </c>
      <c r="O280" s="48"/>
      <c r="P280" s="48"/>
      <c r="Q280" s="48"/>
      <c r="R280" s="48"/>
      <c r="S280" s="48"/>
      <c r="T280" s="147">
        <v>29500</v>
      </c>
      <c r="U280" s="39">
        <f>I280+J280+K280+L280+M280+N280</f>
        <v>169500</v>
      </c>
      <c r="V280" s="64"/>
      <c r="W280" s="64"/>
      <c r="X280" s="41">
        <f t="shared" ref="X280:X281" si="175">W280-V280</f>
        <v>0</v>
      </c>
      <c r="Y280" s="64"/>
      <c r="Z280" s="41">
        <f t="shared" ref="Z280:Z288" si="176">Y280-V280</f>
        <v>0</v>
      </c>
      <c r="AA280" s="42">
        <f t="shared" si="174"/>
        <v>-169500</v>
      </c>
      <c r="AB280" s="258"/>
      <c r="AC280" s="258"/>
      <c r="AD280" s="258"/>
    </row>
    <row r="281" spans="1:30" ht="26.25" thickBot="1" x14ac:dyDescent="0.3">
      <c r="F281" s="45" t="s">
        <v>199</v>
      </c>
      <c r="G281" s="63">
        <v>2240</v>
      </c>
      <c r="H281" s="68">
        <f t="shared" si="165"/>
        <v>167312.22</v>
      </c>
      <c r="I281" s="48"/>
      <c r="J281" s="48"/>
      <c r="K281" s="61">
        <v>12812.22</v>
      </c>
      <c r="L281" s="48"/>
      <c r="M281" s="48"/>
      <c r="N281" s="61">
        <v>7000</v>
      </c>
      <c r="O281" s="61">
        <v>29500</v>
      </c>
      <c r="P281" s="61">
        <v>29500</v>
      </c>
      <c r="Q281" s="61">
        <v>29500</v>
      </c>
      <c r="R281" s="61">
        <v>29500</v>
      </c>
      <c r="S281" s="61">
        <v>29500</v>
      </c>
      <c r="T281" s="231"/>
      <c r="U281" s="39">
        <f t="shared" ref="U281:U288" si="177">I281+J281+K281+L281+M281+N281</f>
        <v>19812.22</v>
      </c>
      <c r="V281" s="64"/>
      <c r="W281" s="64"/>
      <c r="X281" s="41">
        <f t="shared" si="175"/>
        <v>0</v>
      </c>
      <c r="Y281" s="64"/>
      <c r="Z281" s="41">
        <f t="shared" si="176"/>
        <v>0</v>
      </c>
      <c r="AA281" s="42">
        <f t="shared" si="174"/>
        <v>-19812.22</v>
      </c>
      <c r="AB281" s="258"/>
      <c r="AC281" s="258"/>
      <c r="AD281" s="258"/>
    </row>
    <row r="282" spans="1:30" ht="51.75" thickBot="1" x14ac:dyDescent="0.3">
      <c r="F282" s="45" t="s">
        <v>284</v>
      </c>
      <c r="G282" s="63">
        <v>3122</v>
      </c>
      <c r="H282" s="68">
        <f t="shared" si="165"/>
        <v>210000</v>
      </c>
      <c r="I282" s="48"/>
      <c r="J282" s="153">
        <v>210000</v>
      </c>
      <c r="K282" s="48"/>
      <c r="L282" s="48"/>
      <c r="M282" s="48"/>
      <c r="N282" s="48"/>
      <c r="O282" s="48"/>
      <c r="P282" s="48"/>
      <c r="Q282" s="48"/>
      <c r="R282" s="48"/>
      <c r="S282" s="48"/>
      <c r="T282" s="231"/>
      <c r="U282" s="39">
        <f t="shared" si="177"/>
        <v>210000</v>
      </c>
      <c r="V282" s="64"/>
      <c r="W282" s="64"/>
      <c r="X282" s="41"/>
      <c r="Y282" s="64"/>
      <c r="Z282" s="41">
        <f t="shared" si="176"/>
        <v>0</v>
      </c>
      <c r="AA282" s="42">
        <f t="shared" si="174"/>
        <v>-210000</v>
      </c>
      <c r="AB282" s="258"/>
      <c r="AC282" s="258"/>
      <c r="AD282" s="258"/>
    </row>
    <row r="283" spans="1:30" ht="39" thickBot="1" x14ac:dyDescent="0.3">
      <c r="A283" t="s">
        <v>255</v>
      </c>
      <c r="D283" t="s">
        <v>254</v>
      </c>
      <c r="F283" s="91" t="s">
        <v>285</v>
      </c>
      <c r="G283" s="63">
        <v>3122</v>
      </c>
      <c r="H283" s="68">
        <f t="shared" si="165"/>
        <v>921222</v>
      </c>
      <c r="I283" s="147">
        <v>267232</v>
      </c>
      <c r="J283" s="61">
        <v>525000</v>
      </c>
      <c r="K283" s="48"/>
      <c r="L283" s="48"/>
      <c r="M283" s="147">
        <v>128990</v>
      </c>
      <c r="N283" s="48"/>
      <c r="O283" s="48"/>
      <c r="P283" s="48"/>
      <c r="Q283" s="48"/>
      <c r="R283" s="48"/>
      <c r="S283" s="48"/>
      <c r="T283" s="231"/>
      <c r="U283" s="39">
        <f t="shared" si="177"/>
        <v>921222</v>
      </c>
      <c r="V283" s="64"/>
      <c r="W283" s="64"/>
      <c r="X283" s="41"/>
      <c r="Y283" s="125">
        <f>391188+5033.03</f>
        <v>396221.03</v>
      </c>
      <c r="Z283" s="41">
        <f t="shared" si="176"/>
        <v>396221.03</v>
      </c>
      <c r="AA283" s="42">
        <f t="shared" si="174"/>
        <v>-525000.97</v>
      </c>
      <c r="AB283" s="258"/>
      <c r="AC283" s="258"/>
      <c r="AD283" s="258"/>
    </row>
    <row r="284" spans="1:30" ht="26.25" thickBot="1" x14ac:dyDescent="0.3">
      <c r="F284" s="154" t="s">
        <v>286</v>
      </c>
      <c r="G284" s="155"/>
      <c r="H284" s="94"/>
      <c r="I284" s="156"/>
      <c r="J284" s="157">
        <v>85000</v>
      </c>
      <c r="K284" s="156"/>
      <c r="L284" s="156"/>
      <c r="M284" s="156"/>
      <c r="N284" s="156"/>
      <c r="O284" s="156"/>
      <c r="P284" s="156"/>
      <c r="Q284" s="156"/>
      <c r="R284" s="156"/>
      <c r="S284" s="156"/>
      <c r="T284" s="246"/>
      <c r="U284" s="39">
        <f t="shared" si="177"/>
        <v>85000</v>
      </c>
      <c r="V284" s="64"/>
      <c r="W284" s="64"/>
      <c r="X284" s="41"/>
      <c r="Y284" s="64"/>
      <c r="Z284" s="41">
        <f t="shared" si="176"/>
        <v>0</v>
      </c>
      <c r="AA284" s="42">
        <f t="shared" si="174"/>
        <v>-85000</v>
      </c>
      <c r="AB284" s="258"/>
      <c r="AC284" s="258"/>
      <c r="AD284" s="258"/>
    </row>
    <row r="285" spans="1:30" ht="39" thickBot="1" x14ac:dyDescent="0.3">
      <c r="F285" s="154" t="s">
        <v>287</v>
      </c>
      <c r="G285" s="155"/>
      <c r="H285" s="94"/>
      <c r="I285" s="156"/>
      <c r="J285" s="158">
        <v>440000</v>
      </c>
      <c r="K285" s="156"/>
      <c r="L285" s="156"/>
      <c r="M285" s="156"/>
      <c r="N285" s="156"/>
      <c r="O285" s="156"/>
      <c r="P285" s="156"/>
      <c r="Q285" s="156"/>
      <c r="R285" s="156"/>
      <c r="S285" s="156"/>
      <c r="T285" s="246"/>
      <c r="U285" s="39">
        <f t="shared" si="177"/>
        <v>440000</v>
      </c>
      <c r="V285" s="64"/>
      <c r="W285" s="64"/>
      <c r="X285" s="41"/>
      <c r="Y285" s="64"/>
      <c r="Z285" s="41">
        <f t="shared" si="176"/>
        <v>0</v>
      </c>
      <c r="AA285" s="42">
        <f t="shared" si="174"/>
        <v>-440000</v>
      </c>
      <c r="AB285" s="258"/>
      <c r="AC285" s="258"/>
      <c r="AD285" s="258"/>
    </row>
    <row r="286" spans="1:30" ht="51.75" thickBot="1" x14ac:dyDescent="0.3">
      <c r="F286" s="91" t="s">
        <v>288</v>
      </c>
      <c r="G286" s="63">
        <v>3122</v>
      </c>
      <c r="H286" s="68">
        <f t="shared" si="165"/>
        <v>833350</v>
      </c>
      <c r="I286" s="147">
        <v>503350</v>
      </c>
      <c r="J286" s="159">
        <v>330000</v>
      </c>
      <c r="K286" s="48"/>
      <c r="L286" s="48"/>
      <c r="M286" s="48"/>
      <c r="N286" s="48"/>
      <c r="O286" s="48"/>
      <c r="P286" s="48"/>
      <c r="Q286" s="48"/>
      <c r="R286" s="48"/>
      <c r="S286" s="48"/>
      <c r="T286" s="231"/>
      <c r="U286" s="39">
        <f t="shared" si="177"/>
        <v>833350</v>
      </c>
      <c r="V286" s="64"/>
      <c r="W286" s="64"/>
      <c r="X286" s="41"/>
      <c r="Y286" s="64">
        <f>497042.56</f>
        <v>497042.56</v>
      </c>
      <c r="Z286" s="41">
        <f t="shared" si="176"/>
        <v>497042.56</v>
      </c>
      <c r="AA286" s="42">
        <f t="shared" si="174"/>
        <v>-336307.44</v>
      </c>
      <c r="AB286" s="258"/>
      <c r="AC286" s="258"/>
      <c r="AD286" s="258"/>
    </row>
    <row r="287" spans="1:30" ht="51.75" thickBot="1" x14ac:dyDescent="0.3">
      <c r="F287" s="91" t="s">
        <v>289</v>
      </c>
      <c r="G287" s="63">
        <v>3122</v>
      </c>
      <c r="H287" s="68">
        <f t="shared" si="165"/>
        <v>261418</v>
      </c>
      <c r="I287" s="147">
        <v>261418</v>
      </c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231"/>
      <c r="U287" s="39">
        <f t="shared" si="177"/>
        <v>261418</v>
      </c>
      <c r="V287" s="125">
        <f>261417.48</f>
        <v>261417.48</v>
      </c>
      <c r="W287" s="125">
        <f>261417.48</f>
        <v>261417.48</v>
      </c>
      <c r="X287" s="41"/>
      <c r="Y287" s="43">
        <f>261417.48</f>
        <v>261417.48</v>
      </c>
      <c r="Z287" s="41">
        <f t="shared" si="176"/>
        <v>0</v>
      </c>
      <c r="AA287" s="42">
        <f t="shared" si="174"/>
        <v>-0.51999999998952262</v>
      </c>
      <c r="AB287" s="258"/>
      <c r="AC287" s="258"/>
      <c r="AD287" s="258"/>
    </row>
    <row r="288" spans="1:30" ht="51.75" hidden="1" thickBot="1" x14ac:dyDescent="0.3">
      <c r="F288" s="91" t="s">
        <v>290</v>
      </c>
      <c r="G288" s="63">
        <v>3142</v>
      </c>
      <c r="H288" s="68">
        <f t="shared" si="165"/>
        <v>0</v>
      </c>
      <c r="I288" s="147"/>
      <c r="J288" s="48"/>
      <c r="K288" s="147"/>
      <c r="L288" s="48"/>
      <c r="M288" s="147"/>
      <c r="N288" s="147"/>
      <c r="O288" s="147"/>
      <c r="P288" s="147"/>
      <c r="Q288" s="147"/>
      <c r="R288" s="147"/>
      <c r="S288" s="48"/>
      <c r="T288" s="147"/>
      <c r="U288" s="39">
        <f t="shared" si="177"/>
        <v>0</v>
      </c>
      <c r="V288" s="64"/>
      <c r="W288" s="64"/>
      <c r="X288" s="41"/>
      <c r="Y288" s="64"/>
      <c r="Z288" s="41">
        <f t="shared" si="176"/>
        <v>0</v>
      </c>
      <c r="AA288" s="42">
        <f t="shared" si="174"/>
        <v>0</v>
      </c>
      <c r="AB288" s="258"/>
      <c r="AC288" s="258"/>
      <c r="AD288" s="258"/>
    </row>
    <row r="289" spans="1:30" ht="18" thickBot="1" x14ac:dyDescent="0.3">
      <c r="F289" s="99" t="s">
        <v>57</v>
      </c>
      <c r="G289" s="457">
        <f>SUM(H280:H281)</f>
        <v>366312.22</v>
      </c>
      <c r="H289" s="458"/>
      <c r="I289" s="160">
        <f t="shared" ref="I289:T289" si="178">SUM(I280:I281)</f>
        <v>29500</v>
      </c>
      <c r="J289" s="160">
        <f t="shared" si="178"/>
        <v>29500</v>
      </c>
      <c r="K289" s="160">
        <f t="shared" si="178"/>
        <v>42312.22</v>
      </c>
      <c r="L289" s="160">
        <f t="shared" si="178"/>
        <v>29500</v>
      </c>
      <c r="M289" s="160">
        <f t="shared" si="178"/>
        <v>29000</v>
      </c>
      <c r="N289" s="160">
        <f t="shared" si="178"/>
        <v>29500</v>
      </c>
      <c r="O289" s="160">
        <f t="shared" si="178"/>
        <v>29500</v>
      </c>
      <c r="P289" s="160">
        <f t="shared" si="178"/>
        <v>29500</v>
      </c>
      <c r="Q289" s="160">
        <f t="shared" si="178"/>
        <v>29500</v>
      </c>
      <c r="R289" s="160">
        <f t="shared" si="178"/>
        <v>29500</v>
      </c>
      <c r="S289" s="160">
        <f t="shared" si="178"/>
        <v>29500</v>
      </c>
      <c r="T289" s="247">
        <f t="shared" si="178"/>
        <v>29500</v>
      </c>
      <c r="U289" s="160">
        <f>SUM(U280:U281)</f>
        <v>189312.22</v>
      </c>
      <c r="V289" s="160">
        <f t="shared" ref="V289:AA289" si="179">SUM(V280:V281)</f>
        <v>0</v>
      </c>
      <c r="W289" s="160">
        <f t="shared" si="179"/>
        <v>0</v>
      </c>
      <c r="X289" s="160">
        <f t="shared" si="179"/>
        <v>0</v>
      </c>
      <c r="Y289" s="160">
        <f t="shared" si="179"/>
        <v>0</v>
      </c>
      <c r="Z289" s="160">
        <f t="shared" si="179"/>
        <v>0</v>
      </c>
      <c r="AA289" s="160">
        <f t="shared" si="179"/>
        <v>-189312.22</v>
      </c>
      <c r="AB289" s="273"/>
      <c r="AC289" s="273"/>
      <c r="AD289" s="273"/>
    </row>
    <row r="290" spans="1:30" ht="18" thickBot="1" x14ac:dyDescent="0.3">
      <c r="F290" s="99" t="s">
        <v>192</v>
      </c>
      <c r="G290" s="457">
        <f>SUM(H282+H283+H286+H287)</f>
        <v>2225990</v>
      </c>
      <c r="H290" s="458"/>
      <c r="I290" s="57">
        <f>I282+I283+I286+I287</f>
        <v>1032000</v>
      </c>
      <c r="J290" s="57">
        <f t="shared" ref="J290:AA290" si="180">J282+J283+J286+J287</f>
        <v>1065000</v>
      </c>
      <c r="K290" s="57">
        <f t="shared" si="180"/>
        <v>0</v>
      </c>
      <c r="L290" s="57">
        <f t="shared" si="180"/>
        <v>0</v>
      </c>
      <c r="M290" s="57">
        <f t="shared" si="180"/>
        <v>128990</v>
      </c>
      <c r="N290" s="57">
        <f t="shared" si="180"/>
        <v>0</v>
      </c>
      <c r="O290" s="57">
        <f t="shared" si="180"/>
        <v>0</v>
      </c>
      <c r="P290" s="57">
        <f t="shared" si="180"/>
        <v>0</v>
      </c>
      <c r="Q290" s="57">
        <f t="shared" si="180"/>
        <v>0</v>
      </c>
      <c r="R290" s="57">
        <f t="shared" si="180"/>
        <v>0</v>
      </c>
      <c r="S290" s="57">
        <f t="shared" si="180"/>
        <v>0</v>
      </c>
      <c r="T290" s="165">
        <f t="shared" si="180"/>
        <v>0</v>
      </c>
      <c r="U290" s="57">
        <f t="shared" si="180"/>
        <v>2225990</v>
      </c>
      <c r="V290" s="57">
        <f t="shared" si="180"/>
        <v>261417.48</v>
      </c>
      <c r="W290" s="57">
        <f t="shared" si="180"/>
        <v>261417.48</v>
      </c>
      <c r="X290" s="57">
        <f t="shared" si="180"/>
        <v>0</v>
      </c>
      <c r="Y290" s="57">
        <f t="shared" si="180"/>
        <v>1154681.07</v>
      </c>
      <c r="Z290" s="57">
        <f t="shared" si="180"/>
        <v>893263.59000000008</v>
      </c>
      <c r="AA290" s="57">
        <f t="shared" si="180"/>
        <v>-1071308.93</v>
      </c>
      <c r="AB290" s="272"/>
      <c r="AC290" s="272"/>
      <c r="AD290" s="272"/>
    </row>
    <row r="291" spans="1:30" ht="18" thickBot="1" x14ac:dyDescent="0.3">
      <c r="F291" s="99" t="s">
        <v>291</v>
      </c>
      <c r="G291" s="457">
        <f>SUM(H288)</f>
        <v>0</v>
      </c>
      <c r="H291" s="458"/>
      <c r="I291" s="57">
        <f>I288</f>
        <v>0</v>
      </c>
      <c r="J291" s="57">
        <f t="shared" ref="J291:AA291" si="181">J288</f>
        <v>0</v>
      </c>
      <c r="K291" s="57">
        <f t="shared" si="181"/>
        <v>0</v>
      </c>
      <c r="L291" s="57">
        <f t="shared" si="181"/>
        <v>0</v>
      </c>
      <c r="M291" s="57">
        <f t="shared" si="181"/>
        <v>0</v>
      </c>
      <c r="N291" s="57">
        <f t="shared" si="181"/>
        <v>0</v>
      </c>
      <c r="O291" s="57">
        <f t="shared" si="181"/>
        <v>0</v>
      </c>
      <c r="P291" s="57">
        <f t="shared" si="181"/>
        <v>0</v>
      </c>
      <c r="Q291" s="57">
        <f t="shared" si="181"/>
        <v>0</v>
      </c>
      <c r="R291" s="57">
        <f t="shared" si="181"/>
        <v>0</v>
      </c>
      <c r="S291" s="57">
        <f t="shared" si="181"/>
        <v>0</v>
      </c>
      <c r="T291" s="165">
        <f t="shared" si="181"/>
        <v>0</v>
      </c>
      <c r="U291" s="57">
        <f t="shared" si="181"/>
        <v>0</v>
      </c>
      <c r="V291" s="57">
        <f t="shared" si="181"/>
        <v>0</v>
      </c>
      <c r="W291" s="57">
        <f t="shared" si="181"/>
        <v>0</v>
      </c>
      <c r="X291" s="57">
        <f t="shared" si="181"/>
        <v>0</v>
      </c>
      <c r="Y291" s="57">
        <f t="shared" si="181"/>
        <v>0</v>
      </c>
      <c r="Z291" s="57">
        <f t="shared" si="181"/>
        <v>0</v>
      </c>
      <c r="AA291" s="57">
        <f t="shared" si="181"/>
        <v>0</v>
      </c>
      <c r="AB291" s="272"/>
      <c r="AC291" s="272"/>
      <c r="AD291" s="272"/>
    </row>
    <row r="292" spans="1:30" ht="15.75" thickBot="1" x14ac:dyDescent="0.3">
      <c r="F292" s="101" t="s">
        <v>200</v>
      </c>
      <c r="G292" s="476">
        <f>SUM(G289:H291)</f>
        <v>2592302.2199999997</v>
      </c>
      <c r="H292" s="477"/>
      <c r="I292" s="101">
        <v>1079500</v>
      </c>
      <c r="J292" s="166">
        <f>J291+J290+J289</f>
        <v>1094500</v>
      </c>
      <c r="K292" s="101">
        <v>120312.22</v>
      </c>
      <c r="L292" s="101">
        <v>29500</v>
      </c>
      <c r="M292" s="101">
        <v>857990</v>
      </c>
      <c r="N292" s="101">
        <v>754500</v>
      </c>
      <c r="O292" s="101">
        <v>422113</v>
      </c>
      <c r="P292" s="101">
        <v>79500</v>
      </c>
      <c r="Q292" s="101">
        <v>361887</v>
      </c>
      <c r="R292" s="101">
        <v>183500</v>
      </c>
      <c r="S292" s="101">
        <v>29500</v>
      </c>
      <c r="T292" s="248">
        <v>79500</v>
      </c>
      <c r="U292" s="166">
        <f>SUM(U289:U291)</f>
        <v>2415302.2200000002</v>
      </c>
      <c r="V292" s="166">
        <f t="shared" ref="V292:AA292" si="182">SUM(V289:V291)</f>
        <v>261417.48</v>
      </c>
      <c r="W292" s="166">
        <f t="shared" si="182"/>
        <v>261417.48</v>
      </c>
      <c r="X292" s="166">
        <f t="shared" si="182"/>
        <v>0</v>
      </c>
      <c r="Y292" s="166">
        <f t="shared" si="182"/>
        <v>1154681.07</v>
      </c>
      <c r="Z292" s="166">
        <f t="shared" si="182"/>
        <v>893263.59000000008</v>
      </c>
      <c r="AA292" s="166">
        <f t="shared" si="182"/>
        <v>-1260621.1499999999</v>
      </c>
      <c r="AB292" s="266"/>
      <c r="AC292" s="266"/>
      <c r="AD292" s="266"/>
    </row>
    <row r="293" spans="1:30" ht="18" thickBot="1" x14ac:dyDescent="0.3">
      <c r="E293" s="469" t="s">
        <v>292</v>
      </c>
      <c r="F293" s="470"/>
      <c r="G293" s="457">
        <v>12812.22</v>
      </c>
      <c r="H293" s="458"/>
      <c r="I293" s="62">
        <v>0</v>
      </c>
      <c r="J293" s="62">
        <v>0</v>
      </c>
      <c r="K293" s="57">
        <v>12812.22</v>
      </c>
      <c r="L293" s="62">
        <v>0</v>
      </c>
      <c r="M293" s="62">
        <v>0</v>
      </c>
      <c r="N293" s="62">
        <v>0</v>
      </c>
      <c r="O293" s="62">
        <v>0</v>
      </c>
      <c r="P293" s="62">
        <v>0</v>
      </c>
      <c r="Q293" s="62">
        <v>0</v>
      </c>
      <c r="R293" s="62">
        <v>0</v>
      </c>
      <c r="S293" s="62">
        <v>0</v>
      </c>
      <c r="T293" s="249">
        <v>0</v>
      </c>
      <c r="U293" s="39"/>
      <c r="V293" s="64"/>
      <c r="W293" s="64"/>
      <c r="X293" s="41"/>
      <c r="Y293" s="64"/>
      <c r="Z293" s="41"/>
      <c r="AA293" s="42"/>
      <c r="AB293" s="258"/>
      <c r="AC293" s="258"/>
      <c r="AD293" s="258"/>
    </row>
    <row r="294" spans="1:30" ht="18" thickBot="1" x14ac:dyDescent="0.3">
      <c r="F294" s="50" t="s">
        <v>293</v>
      </c>
      <c r="G294" s="457">
        <v>295000</v>
      </c>
      <c r="H294" s="458"/>
      <c r="I294" s="161">
        <v>0</v>
      </c>
      <c r="J294" s="162">
        <f>SUM(J282+J284)</f>
        <v>295000</v>
      </c>
      <c r="K294" s="161">
        <v>0</v>
      </c>
      <c r="L294" s="161">
        <v>0</v>
      </c>
      <c r="M294" s="161">
        <v>0</v>
      </c>
      <c r="N294" s="161">
        <v>0</v>
      </c>
      <c r="O294" s="161">
        <v>0</v>
      </c>
      <c r="P294" s="161">
        <v>0</v>
      </c>
      <c r="Q294" s="161">
        <v>0</v>
      </c>
      <c r="R294" s="161">
        <v>0</v>
      </c>
      <c r="S294" s="161">
        <v>0</v>
      </c>
      <c r="T294" s="249">
        <v>0</v>
      </c>
      <c r="U294" s="39"/>
      <c r="V294" s="64"/>
      <c r="W294" s="64"/>
      <c r="X294" s="41"/>
      <c r="Y294" s="64"/>
      <c r="Z294" s="41"/>
      <c r="AA294" s="42"/>
      <c r="AB294" s="258"/>
      <c r="AC294" s="258"/>
      <c r="AD294" s="258"/>
    </row>
    <row r="295" spans="1:30" ht="18" customHeight="1" thickBot="1" x14ac:dyDescent="0.3">
      <c r="E295" s="459" t="s">
        <v>294</v>
      </c>
      <c r="F295" s="460"/>
      <c r="G295" s="461">
        <v>770000</v>
      </c>
      <c r="H295" s="462"/>
      <c r="I295" s="163">
        <v>0</v>
      </c>
      <c r="J295" s="164">
        <f>SUM(J285:J286)</f>
        <v>770000</v>
      </c>
      <c r="K295" s="163">
        <v>0</v>
      </c>
      <c r="L295" s="163">
        <v>0</v>
      </c>
      <c r="M295" s="163">
        <v>0</v>
      </c>
      <c r="N295" s="163">
        <v>0</v>
      </c>
      <c r="O295" s="163">
        <v>0</v>
      </c>
      <c r="P295" s="163">
        <v>0</v>
      </c>
      <c r="Q295" s="163">
        <v>0</v>
      </c>
      <c r="R295" s="163">
        <v>0</v>
      </c>
      <c r="S295" s="163">
        <v>0</v>
      </c>
      <c r="T295" s="249">
        <v>0</v>
      </c>
      <c r="U295" s="68">
        <f t="shared" ref="U295:Z295" si="183">SUM(U280:U281)</f>
        <v>189312.22</v>
      </c>
      <c r="V295" s="68">
        <f t="shared" si="183"/>
        <v>0</v>
      </c>
      <c r="W295" s="68">
        <f t="shared" si="183"/>
        <v>0</v>
      </c>
      <c r="X295" s="68">
        <f t="shared" si="183"/>
        <v>0</v>
      </c>
      <c r="Y295" s="68">
        <f t="shared" si="183"/>
        <v>0</v>
      </c>
      <c r="Z295" s="68">
        <f t="shared" si="183"/>
        <v>0</v>
      </c>
      <c r="AA295" s="68">
        <v>0</v>
      </c>
      <c r="AB295" s="267"/>
      <c r="AC295" s="267"/>
      <c r="AD295" s="267"/>
    </row>
    <row r="296" spans="1:30" ht="18" thickBot="1" x14ac:dyDescent="0.3">
      <c r="E296" s="459" t="s">
        <v>295</v>
      </c>
      <c r="F296" s="463"/>
      <c r="G296" s="464">
        <f>SUM(I296:T296)</f>
        <v>1160990</v>
      </c>
      <c r="H296" s="465"/>
      <c r="I296" s="172">
        <f>I283+I286+I287+I288</f>
        <v>1032000</v>
      </c>
      <c r="J296" s="165">
        <f>J287+J288</f>
        <v>0</v>
      </c>
      <c r="K296" s="165">
        <f t="shared" ref="K296:X296" si="184">K283+K286+K287+K288</f>
        <v>0</v>
      </c>
      <c r="L296" s="165">
        <f t="shared" si="184"/>
        <v>0</v>
      </c>
      <c r="M296" s="165">
        <f t="shared" si="184"/>
        <v>128990</v>
      </c>
      <c r="N296" s="165">
        <f t="shared" si="184"/>
        <v>0</v>
      </c>
      <c r="O296" s="165">
        <f t="shared" si="184"/>
        <v>0</v>
      </c>
      <c r="P296" s="165">
        <f t="shared" si="184"/>
        <v>0</v>
      </c>
      <c r="Q296" s="165">
        <f t="shared" si="184"/>
        <v>0</v>
      </c>
      <c r="R296" s="165">
        <f t="shared" si="184"/>
        <v>0</v>
      </c>
      <c r="S296" s="165">
        <f t="shared" si="184"/>
        <v>0</v>
      </c>
      <c r="T296" s="165">
        <f t="shared" si="184"/>
        <v>0</v>
      </c>
      <c r="U296" s="165">
        <f t="shared" si="184"/>
        <v>2015990</v>
      </c>
      <c r="V296" s="165">
        <f t="shared" si="184"/>
        <v>261417.48</v>
      </c>
      <c r="W296" s="165">
        <f t="shared" si="184"/>
        <v>261417.48</v>
      </c>
      <c r="X296" s="165">
        <f t="shared" si="184"/>
        <v>0</v>
      </c>
      <c r="Y296" s="165">
        <v>0</v>
      </c>
      <c r="Z296" s="165">
        <v>0</v>
      </c>
      <c r="AA296" s="165">
        <f>U296-Y296</f>
        <v>2015990</v>
      </c>
      <c r="AB296" s="274"/>
      <c r="AC296" s="274"/>
      <c r="AD296" s="274"/>
    </row>
    <row r="297" spans="1:30" ht="15.75" hidden="1" thickBot="1" x14ac:dyDescent="0.3"/>
    <row r="298" spans="1:30" ht="15.75" thickBot="1" x14ac:dyDescent="0.3">
      <c r="A298" s="1"/>
      <c r="B298" s="1"/>
      <c r="C298" s="1"/>
      <c r="D298" s="2"/>
      <c r="E298" s="466" t="s">
        <v>201</v>
      </c>
      <c r="F298" s="467"/>
      <c r="G298" s="468"/>
      <c r="H298" s="100" t="e">
        <f>G292+H277+H266+H250+H172+G162+H50+#REF!+H253+H216+H211+H203+H195+H191+H188+H177</f>
        <v>#REF!</v>
      </c>
      <c r="I298" s="100" t="e">
        <f>#REF!+I277+I266+I250+I172+H162+I50+I253+I216+I162</f>
        <v>#REF!</v>
      </c>
      <c r="J298" s="100" t="e">
        <f>#REF!+J277+J266+J250+J172+I162+J50+J253+J216+J162</f>
        <v>#REF!</v>
      </c>
      <c r="K298" s="100" t="e">
        <f>#REF!+K277+K266+K250+K172+J162+K50+K253+K216+K162</f>
        <v>#REF!</v>
      </c>
      <c r="L298" s="100" t="e">
        <f>#REF!+L277+L266+L250+L172+K162+L50+L253+L216+L162</f>
        <v>#REF!</v>
      </c>
      <c r="M298" s="100" t="e">
        <f>#REF!+M277+M266+M250+M172+L162+M50+M253+M216+M162</f>
        <v>#REF!</v>
      </c>
      <c r="N298" s="100" t="e">
        <f>#REF!+N277+N266+N250+N172+M162+N50+N253+N216+N162</f>
        <v>#REF!</v>
      </c>
      <c r="O298" s="100" t="e">
        <f>#REF!+O277+O266+O250+O172+N162+O50+O253+O216+O162</f>
        <v>#REF!</v>
      </c>
      <c r="P298" s="100" t="e">
        <f>#REF!+P277+P266+P250+P172+O162+P50+P253+P216+P162</f>
        <v>#REF!</v>
      </c>
      <c r="Q298" s="100" t="e">
        <f>#REF!+Q277+Q266+Q250+Q172+P162+Q50+Q253+Q216+Q162</f>
        <v>#REF!</v>
      </c>
      <c r="R298" s="100" t="e">
        <f>#REF!+R277+R266+R250+R172+Q162+R50+R253+R216+R162</f>
        <v>#REF!</v>
      </c>
      <c r="S298" s="100" t="e">
        <f>#REF!+S277+S266+S250+S172+R162+S50+S253+S216+S162</f>
        <v>#REF!</v>
      </c>
      <c r="T298" s="250">
        <f>T292+T277+T266+T250+T172+S162+T50+T253+T216+T162</f>
        <v>16885800</v>
      </c>
      <c r="U298" s="100">
        <f>U292+U277+U266+U250+U172+U50+U253+U216+U162+U211+U203+U195+U191+U188+U177</f>
        <v>124941174.92</v>
      </c>
      <c r="V298" s="100">
        <f t="shared" ref="V298:AA298" si="185">V292+V277+V266+V250+V172+V50+V253+V216+V162+V211+V203+V195+V191+V188+V177</f>
        <v>60562418.900000006</v>
      </c>
      <c r="W298" s="100">
        <f t="shared" si="185"/>
        <v>59674180.199999988</v>
      </c>
      <c r="X298" s="100">
        <f t="shared" si="185"/>
        <v>-888238.70000000077</v>
      </c>
      <c r="Y298" s="100">
        <f t="shared" si="185"/>
        <v>67618704.559999987</v>
      </c>
      <c r="Z298" s="100">
        <f t="shared" si="185"/>
        <v>7056285.6600000001</v>
      </c>
      <c r="AA298" s="100">
        <f t="shared" si="185"/>
        <v>-57322470.359999999</v>
      </c>
      <c r="AB298" s="275"/>
      <c r="AC298" s="275"/>
      <c r="AD298" s="275"/>
    </row>
    <row r="299" spans="1:30" ht="19.5" customHeight="1" x14ac:dyDescent="0.25">
      <c r="A299" s="1"/>
      <c r="B299" s="1"/>
      <c r="C299" s="1"/>
      <c r="D299" s="2"/>
      <c r="E299" s="456" t="s">
        <v>202</v>
      </c>
      <c r="F299" s="456"/>
      <c r="G299" s="456"/>
      <c r="H299" s="456"/>
      <c r="I299" s="456"/>
      <c r="J299" s="456"/>
      <c r="K299" s="456"/>
      <c r="L299" s="456"/>
      <c r="M299" s="456"/>
      <c r="N299" s="456"/>
      <c r="O299" s="456"/>
      <c r="P299" s="456"/>
      <c r="Q299" s="456"/>
      <c r="R299" s="456"/>
      <c r="S299" s="456"/>
      <c r="T299" s="456"/>
      <c r="U299" s="456"/>
      <c r="V299" s="456"/>
      <c r="W299" s="456"/>
      <c r="X299" s="456"/>
      <c r="Y299" s="456"/>
      <c r="Z299" s="456"/>
    </row>
    <row r="301" spans="1:30" x14ac:dyDescent="0.25">
      <c r="H301" s="103"/>
    </row>
  </sheetData>
  <mergeCells count="44">
    <mergeCell ref="D151:D152"/>
    <mergeCell ref="E1:X2"/>
    <mergeCell ref="Y2:AA2"/>
    <mergeCell ref="E5:AA5"/>
    <mergeCell ref="E51:G51"/>
    <mergeCell ref="E52:G52"/>
    <mergeCell ref="E55:AA55"/>
    <mergeCell ref="E95:G95"/>
    <mergeCell ref="E123:G123"/>
    <mergeCell ref="E128:G128"/>
    <mergeCell ref="E148:G148"/>
    <mergeCell ref="E150:G150"/>
    <mergeCell ref="F217:G217"/>
    <mergeCell ref="E156:G156"/>
    <mergeCell ref="G161:H161"/>
    <mergeCell ref="G162:H162"/>
    <mergeCell ref="G163:H163"/>
    <mergeCell ref="F173:G173"/>
    <mergeCell ref="F178:G178"/>
    <mergeCell ref="F189:G189"/>
    <mergeCell ref="F192:G192"/>
    <mergeCell ref="F196:G196"/>
    <mergeCell ref="F204:G204"/>
    <mergeCell ref="F212:G212"/>
    <mergeCell ref="E293:F293"/>
    <mergeCell ref="G293:H293"/>
    <mergeCell ref="F251:G251"/>
    <mergeCell ref="F254:G254"/>
    <mergeCell ref="F255:H255"/>
    <mergeCell ref="F267:G267"/>
    <mergeCell ref="F268:G268"/>
    <mergeCell ref="F278:G278"/>
    <mergeCell ref="F279:G279"/>
    <mergeCell ref="G289:H289"/>
    <mergeCell ref="G290:H290"/>
    <mergeCell ref="G291:H291"/>
    <mergeCell ref="G292:H292"/>
    <mergeCell ref="E299:Z299"/>
    <mergeCell ref="G294:H294"/>
    <mergeCell ref="E295:F295"/>
    <mergeCell ref="G295:H295"/>
    <mergeCell ref="E296:F296"/>
    <mergeCell ref="G296:H296"/>
    <mergeCell ref="E298:G298"/>
  </mergeCells>
  <pageMargins left="0.31496062992125984" right="0.31496062992125984" top="0.74803149606299213" bottom="0.35433070866141736" header="0.31496062992125984" footer="0.31496062992125984"/>
  <pageSetup paperSize="9" scale="34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10">
    <pageSetUpPr fitToPage="1"/>
  </sheetPr>
  <dimension ref="A1:AE301"/>
  <sheetViews>
    <sheetView topLeftCell="D1" zoomScaleNormal="100" workbookViewId="0">
      <selection activeCell="H3" sqref="H1:U1048576"/>
    </sheetView>
  </sheetViews>
  <sheetFormatPr defaultColWidth="9.140625" defaultRowHeight="15" x14ac:dyDescent="0.25"/>
  <cols>
    <col min="1" max="1" width="7.28515625" customWidth="1"/>
    <col min="2" max="2" width="10.5703125" customWidth="1"/>
    <col min="3" max="3" width="12.28515625" customWidth="1"/>
    <col min="6" max="6" width="26.85546875" customWidth="1"/>
    <col min="8" max="8" width="16" customWidth="1"/>
    <col min="9" max="19" width="12.5703125" customWidth="1"/>
    <col min="20" max="20" width="13.140625" style="104" customWidth="1"/>
    <col min="21" max="21" width="14.28515625" customWidth="1"/>
    <col min="22" max="22" width="15.7109375" customWidth="1"/>
    <col min="23" max="23" width="16" customWidth="1"/>
    <col min="24" max="24" width="13.42578125" customWidth="1"/>
    <col min="25" max="29" width="15.7109375" customWidth="1"/>
    <col min="30" max="30" width="15" customWidth="1"/>
    <col min="31" max="31" width="15.42578125" customWidth="1"/>
  </cols>
  <sheetData>
    <row r="1" spans="1:31" ht="6.75" customHeight="1" x14ac:dyDescent="0.25">
      <c r="A1" s="1"/>
      <c r="B1" s="1"/>
      <c r="C1" s="1"/>
      <c r="D1" s="2"/>
      <c r="E1" s="485" t="s">
        <v>62</v>
      </c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52"/>
      <c r="Z1" s="52"/>
      <c r="AA1" s="52"/>
      <c r="AB1" s="52"/>
      <c r="AC1" s="52"/>
    </row>
    <row r="2" spans="1:31" ht="11.25" customHeight="1" thickBot="1" x14ac:dyDescent="0.3">
      <c r="A2" s="1"/>
      <c r="B2" s="1"/>
      <c r="C2" s="1"/>
      <c r="D2" s="2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7" t="s">
        <v>427</v>
      </c>
      <c r="Z2" s="487"/>
      <c r="AA2" s="487"/>
      <c r="AB2" s="254"/>
      <c r="AC2" s="254"/>
    </row>
    <row r="3" spans="1:31" ht="35.25" thickTop="1" thickBot="1" x14ac:dyDescent="0.3">
      <c r="A3" s="3" t="s">
        <v>0</v>
      </c>
      <c r="B3" s="3" t="s">
        <v>1</v>
      </c>
      <c r="C3" s="3" t="s">
        <v>2</v>
      </c>
      <c r="D3" s="4" t="s">
        <v>3</v>
      </c>
      <c r="E3" s="4" t="s">
        <v>4</v>
      </c>
      <c r="F3" s="5" t="s">
        <v>5</v>
      </c>
      <c r="G3" s="6" t="s">
        <v>6</v>
      </c>
      <c r="H3" s="7" t="s">
        <v>155</v>
      </c>
      <c r="I3" s="8" t="s">
        <v>7</v>
      </c>
      <c r="J3" s="9" t="s">
        <v>8</v>
      </c>
      <c r="K3" s="9" t="s">
        <v>9</v>
      </c>
      <c r="L3" s="8" t="s">
        <v>10</v>
      </c>
      <c r="M3" s="8" t="s">
        <v>11</v>
      </c>
      <c r="N3" s="10" t="s">
        <v>12</v>
      </c>
      <c r="O3" s="11" t="s">
        <v>13</v>
      </c>
      <c r="P3" s="12" t="s">
        <v>14</v>
      </c>
      <c r="Q3" s="12" t="s">
        <v>15</v>
      </c>
      <c r="R3" s="13" t="s">
        <v>16</v>
      </c>
      <c r="S3" s="8" t="s">
        <v>17</v>
      </c>
      <c r="T3" s="221" t="s">
        <v>18</v>
      </c>
      <c r="U3" s="7" t="s">
        <v>426</v>
      </c>
      <c r="V3" s="7" t="s">
        <v>19</v>
      </c>
      <c r="W3" s="7" t="s">
        <v>20</v>
      </c>
      <c r="X3" s="7" t="s">
        <v>21</v>
      </c>
      <c r="Y3" s="5" t="s">
        <v>22</v>
      </c>
      <c r="Z3" s="14" t="s">
        <v>23</v>
      </c>
      <c r="AA3" s="14" t="s">
        <v>24</v>
      </c>
      <c r="AB3" s="255"/>
      <c r="AC3" s="255"/>
    </row>
    <row r="4" spans="1:31" ht="12.75" customHeight="1" thickTop="1" thickBot="1" x14ac:dyDescent="0.3">
      <c r="A4" s="1"/>
      <c r="B4" s="1"/>
      <c r="C4" s="1"/>
      <c r="D4" s="2"/>
      <c r="E4" s="15"/>
      <c r="F4" s="16">
        <v>1</v>
      </c>
      <c r="G4" s="17">
        <v>2</v>
      </c>
      <c r="H4" s="18">
        <v>3</v>
      </c>
      <c r="I4" s="19"/>
      <c r="J4" s="20"/>
      <c r="K4" s="21"/>
      <c r="L4" s="22"/>
      <c r="M4" s="22"/>
      <c r="N4" s="23"/>
      <c r="O4" s="24"/>
      <c r="P4" s="25"/>
      <c r="Q4" s="25"/>
      <c r="R4" s="26"/>
      <c r="S4" s="22"/>
      <c r="T4" s="222"/>
      <c r="U4" s="22">
        <v>4</v>
      </c>
      <c r="V4" s="27">
        <v>5</v>
      </c>
      <c r="W4" s="28">
        <v>6</v>
      </c>
      <c r="X4" s="29">
        <v>7</v>
      </c>
      <c r="Y4" s="30">
        <v>8</v>
      </c>
      <c r="Z4" s="31">
        <v>9</v>
      </c>
      <c r="AA4" s="32">
        <v>10</v>
      </c>
      <c r="AB4" s="256"/>
      <c r="AC4" s="256"/>
    </row>
    <row r="5" spans="1:31" ht="16.5" thickTop="1" thickBot="1" x14ac:dyDescent="0.3">
      <c r="A5" s="33"/>
      <c r="B5" s="33"/>
      <c r="C5" s="33"/>
      <c r="D5" s="34"/>
      <c r="E5" s="488" t="s">
        <v>25</v>
      </c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489"/>
      <c r="R5" s="489"/>
      <c r="S5" s="489"/>
      <c r="T5" s="489"/>
      <c r="U5" s="489"/>
      <c r="V5" s="489"/>
      <c r="W5" s="489"/>
      <c r="X5" s="489"/>
      <c r="Y5" s="489"/>
      <c r="Z5" s="489"/>
      <c r="AA5" s="490"/>
      <c r="AB5" s="257"/>
      <c r="AC5" s="257"/>
    </row>
    <row r="6" spans="1:31" s="43" customFormat="1" ht="29.25" customHeight="1" thickBot="1" x14ac:dyDescent="0.3">
      <c r="A6" s="35" t="s">
        <v>208</v>
      </c>
      <c r="B6" s="35" t="s">
        <v>209</v>
      </c>
      <c r="C6" s="35" t="s">
        <v>204</v>
      </c>
      <c r="D6" s="36" t="s">
        <v>205</v>
      </c>
      <c r="E6" s="44">
        <v>1</v>
      </c>
      <c r="F6" s="45" t="s">
        <v>27</v>
      </c>
      <c r="G6" s="44">
        <v>2240</v>
      </c>
      <c r="H6" s="37">
        <f>SUM(I6:T6)</f>
        <v>573549</v>
      </c>
      <c r="I6" s="205">
        <v>50000</v>
      </c>
      <c r="J6" s="205">
        <f>25000-7630+187624-167624</f>
        <v>37370</v>
      </c>
      <c r="K6" s="205"/>
      <c r="L6" s="205"/>
      <c r="M6" s="205"/>
      <c r="N6" s="205"/>
      <c r="O6" s="290">
        <f>57630-40000-5621</f>
        <v>12009</v>
      </c>
      <c r="P6" s="205">
        <f>50000-40000</f>
        <v>10000</v>
      </c>
      <c r="Q6" s="205">
        <f>100000-40000+10000</f>
        <v>70000</v>
      </c>
      <c r="R6" s="205">
        <f>50000+104170+40000</f>
        <v>194170</v>
      </c>
      <c r="S6" s="205">
        <v>50000</v>
      </c>
      <c r="T6" s="205">
        <f>50000+100000</f>
        <v>150000</v>
      </c>
      <c r="U6" s="39">
        <f>I6+J6+K6+L6+M6+N6+O6</f>
        <v>99379</v>
      </c>
      <c r="V6" s="40">
        <f>21356.7+17428.4+32400.98+7922</f>
        <v>79108.08</v>
      </c>
      <c r="W6" s="40">
        <f>21356.7+17428.4+32400.98+7922</f>
        <v>79108.08</v>
      </c>
      <c r="X6" s="41">
        <f t="shared" ref="X6:X20" si="0">W6-V6</f>
        <v>0</v>
      </c>
      <c r="Y6" s="143">
        <f>21356.7+17428.4+32400.98+7922</f>
        <v>79108.08</v>
      </c>
      <c r="Z6" s="41">
        <f>Y6-V6</f>
        <v>0</v>
      </c>
      <c r="AA6" s="42">
        <f>Y6-U6</f>
        <v>-20270.919999999998</v>
      </c>
      <c r="AB6" s="258"/>
      <c r="AC6" s="258">
        <v>20270.919999999998</v>
      </c>
      <c r="AD6" s="103">
        <f>T6-Y6</f>
        <v>70891.92</v>
      </c>
    </row>
    <row r="7" spans="1:31" ht="60.75" thickBot="1" x14ac:dyDescent="0.3">
      <c r="A7" s="35" t="s">
        <v>391</v>
      </c>
      <c r="B7" s="35" t="s">
        <v>393</v>
      </c>
      <c r="C7" s="35" t="s">
        <v>394</v>
      </c>
      <c r="D7" s="36" t="s">
        <v>392</v>
      </c>
      <c r="E7" s="44">
        <v>2</v>
      </c>
      <c r="F7" s="45" t="s">
        <v>28</v>
      </c>
      <c r="G7" s="44">
        <v>2240</v>
      </c>
      <c r="H7" s="37">
        <f t="shared" ref="H7:H51" si="1">SUM(I7:T7)</f>
        <v>500000</v>
      </c>
      <c r="I7" s="205">
        <v>38000</v>
      </c>
      <c r="J7" s="205">
        <v>18000</v>
      </c>
      <c r="K7" s="205"/>
      <c r="L7" s="205"/>
      <c r="M7" s="205">
        <f>82000-54000</f>
        <v>28000</v>
      </c>
      <c r="N7" s="205">
        <f>43400-39150</f>
        <v>4250</v>
      </c>
      <c r="O7" s="205">
        <v>43400</v>
      </c>
      <c r="P7" s="205">
        <v>43400</v>
      </c>
      <c r="Q7" s="205">
        <v>43400</v>
      </c>
      <c r="R7" s="205">
        <f>43400+58000</f>
        <v>101400</v>
      </c>
      <c r="S7" s="205">
        <f>39150+42000</f>
        <v>81150</v>
      </c>
      <c r="T7" s="205">
        <f>45000+54000</f>
        <v>99000</v>
      </c>
      <c r="U7" s="39">
        <f t="shared" ref="U7:U45" si="2">I7+J7+K7+L7+M7+N7+O7</f>
        <v>131650</v>
      </c>
      <c r="V7" s="40">
        <f>26700+57040</f>
        <v>83740</v>
      </c>
      <c r="W7" s="40">
        <f>26700+57040</f>
        <v>83740</v>
      </c>
      <c r="X7" s="41">
        <f t="shared" si="0"/>
        <v>0</v>
      </c>
      <c r="Y7" s="40">
        <f>26700+28125+16235+12680</f>
        <v>83740</v>
      </c>
      <c r="Z7" s="41">
        <f t="shared" ref="Z7:Z20" si="3">Y7-V7</f>
        <v>0</v>
      </c>
      <c r="AA7" s="42">
        <f t="shared" ref="AA7:AA20" si="4">Y7-U7</f>
        <v>-47910</v>
      </c>
      <c r="AB7" s="258"/>
      <c r="AC7" s="258">
        <v>47910</v>
      </c>
      <c r="AD7" s="103">
        <f>H7-Y7</f>
        <v>416260</v>
      </c>
    </row>
    <row r="8" spans="1:31" ht="36.75" thickBot="1" x14ac:dyDescent="0.3">
      <c r="A8" s="35" t="s">
        <v>395</v>
      </c>
      <c r="B8" s="35" t="s">
        <v>396</v>
      </c>
      <c r="C8">
        <v>161560</v>
      </c>
      <c r="D8" t="s">
        <v>210</v>
      </c>
      <c r="E8" s="44">
        <v>3</v>
      </c>
      <c r="F8" s="45" t="s">
        <v>29</v>
      </c>
      <c r="G8" s="44">
        <v>2240</v>
      </c>
      <c r="H8" s="37">
        <f t="shared" si="1"/>
        <v>700000</v>
      </c>
      <c r="I8" s="205">
        <v>56000</v>
      </c>
      <c r="J8" s="205">
        <f>56000+40000+40000</f>
        <v>136000</v>
      </c>
      <c r="K8" s="205">
        <f>57000-40000+20952</f>
        <v>37952</v>
      </c>
      <c r="L8" s="205">
        <f>59000-40000+18952-1200</f>
        <v>36752</v>
      </c>
      <c r="M8" s="205">
        <f>59000-38704-14750</f>
        <v>5546</v>
      </c>
      <c r="N8" s="205"/>
      <c r="O8" s="205">
        <v>59000</v>
      </c>
      <c r="P8" s="205">
        <v>59000</v>
      </c>
      <c r="Q8" s="205">
        <v>59000</v>
      </c>
      <c r="R8" s="205">
        <f>59000+73750</f>
        <v>132750</v>
      </c>
      <c r="S8" s="205">
        <v>59000</v>
      </c>
      <c r="T8" s="205">
        <v>59000</v>
      </c>
      <c r="U8" s="39">
        <f t="shared" si="2"/>
        <v>331250</v>
      </c>
      <c r="V8" s="40">
        <f>53840.59+53768.59+53941.39+54474.19+54430.99</f>
        <v>270455.75</v>
      </c>
      <c r="W8" s="40">
        <f>53840.59+53768.59+53941.39+54474.19+54430.99</f>
        <v>270455.75</v>
      </c>
      <c r="X8" s="41">
        <f t="shared" si="0"/>
        <v>0</v>
      </c>
      <c r="Y8" s="40">
        <f>53840.59+53768.59+53941.39+54474.19+54430.99+54459.79</f>
        <v>324915.53999999998</v>
      </c>
      <c r="Z8" s="41">
        <f t="shared" si="3"/>
        <v>54459.789999999979</v>
      </c>
      <c r="AA8" s="42">
        <f t="shared" si="4"/>
        <v>-6334.460000000021</v>
      </c>
      <c r="AB8" s="258"/>
      <c r="AC8" s="258"/>
    </row>
    <row r="9" spans="1:31" ht="16.5" thickBot="1" x14ac:dyDescent="0.3">
      <c r="A9" s="35" t="s">
        <v>398</v>
      </c>
      <c r="B9" s="35" t="s">
        <v>397</v>
      </c>
      <c r="D9" t="s">
        <v>210</v>
      </c>
      <c r="E9" s="44">
        <v>4</v>
      </c>
      <c r="F9" s="108" t="s">
        <v>30</v>
      </c>
      <c r="G9" s="107">
        <v>2240</v>
      </c>
      <c r="H9" s="110">
        <f t="shared" si="1"/>
        <v>900000</v>
      </c>
      <c r="I9" s="219"/>
      <c r="J9" s="219"/>
      <c r="K9" s="219"/>
      <c r="L9" s="219"/>
      <c r="M9" s="219">
        <f>100000+54000+34000+27750+14750</f>
        <v>230500</v>
      </c>
      <c r="N9" s="219"/>
      <c r="O9" s="219">
        <f>5000</f>
        <v>5000</v>
      </c>
      <c r="P9" s="307">
        <v>110000</v>
      </c>
      <c r="Q9" s="303"/>
      <c r="R9" s="307">
        <f>400000-34000-110000</f>
        <v>256000</v>
      </c>
      <c r="S9" s="219">
        <f>52500</f>
        <v>52500</v>
      </c>
      <c r="T9" s="219">
        <f>400000-100000-54000</f>
        <v>246000</v>
      </c>
      <c r="U9" s="304">
        <f t="shared" si="2"/>
        <v>235500</v>
      </c>
      <c r="V9" s="220">
        <f>230383.2</f>
        <v>230383.2</v>
      </c>
      <c r="W9" s="220">
        <f>230383.2</f>
        <v>230383.2</v>
      </c>
      <c r="X9" s="305">
        <f t="shared" si="0"/>
        <v>0</v>
      </c>
      <c r="Y9" s="220">
        <f>230383.2+131671.43+140981.27</f>
        <v>503035.9</v>
      </c>
      <c r="Z9" s="305">
        <f t="shared" si="3"/>
        <v>272652.7</v>
      </c>
      <c r="AA9" s="306">
        <f t="shared" si="4"/>
        <v>267535.90000000002</v>
      </c>
      <c r="AB9" s="309">
        <v>267535.90000000002</v>
      </c>
      <c r="AC9" s="258">
        <v>-267535.90000000002</v>
      </c>
      <c r="AD9" s="103">
        <v>256000</v>
      </c>
      <c r="AE9" s="103">
        <f>AD9+AC9</f>
        <v>-11535.900000000023</v>
      </c>
    </row>
    <row r="10" spans="1:31" ht="25.5" customHeight="1" thickBot="1" x14ac:dyDescent="0.3">
      <c r="A10" s="35" t="s">
        <v>416</v>
      </c>
      <c r="B10" s="102">
        <v>44729</v>
      </c>
      <c r="C10">
        <v>942370</v>
      </c>
      <c r="D10" t="s">
        <v>210</v>
      </c>
      <c r="E10" s="44">
        <v>5</v>
      </c>
      <c r="F10" s="45" t="s">
        <v>31</v>
      </c>
      <c r="G10" s="44">
        <v>2240</v>
      </c>
      <c r="H10" s="37">
        <f t="shared" si="1"/>
        <v>2000000</v>
      </c>
      <c r="I10" s="205"/>
      <c r="J10" s="205"/>
      <c r="K10" s="205"/>
      <c r="L10" s="205"/>
      <c r="M10" s="276">
        <v>400000</v>
      </c>
      <c r="N10" s="276">
        <v>100000</v>
      </c>
      <c r="O10" s="205">
        <f>500000-57630</f>
        <v>442370</v>
      </c>
      <c r="P10" s="205"/>
      <c r="Q10" s="205"/>
      <c r="R10" s="205">
        <f>500000+57630</f>
        <v>557630</v>
      </c>
      <c r="S10" s="276">
        <f>500000+500000-500000</f>
        <v>500000</v>
      </c>
      <c r="T10" s="205"/>
      <c r="U10" s="39">
        <f t="shared" si="2"/>
        <v>942370</v>
      </c>
      <c r="V10" s="40"/>
      <c r="W10" s="40"/>
      <c r="X10" s="41">
        <f t="shared" si="0"/>
        <v>0</v>
      </c>
      <c r="Y10" s="40">
        <f>399997.2</f>
        <v>399997.2</v>
      </c>
      <c r="Z10" s="41">
        <f t="shared" si="3"/>
        <v>399997.2</v>
      </c>
      <c r="AA10" s="42">
        <f t="shared" si="4"/>
        <v>-542372.80000000005</v>
      </c>
      <c r="AB10" s="258">
        <v>267535.90000000002</v>
      </c>
      <c r="AC10" s="258">
        <v>1000000</v>
      </c>
    </row>
    <row r="11" spans="1:31" ht="26.25" thickBot="1" x14ac:dyDescent="0.3">
      <c r="E11" s="44">
        <v>6</v>
      </c>
      <c r="F11" s="173" t="s">
        <v>32</v>
      </c>
      <c r="G11" s="44">
        <v>2240</v>
      </c>
      <c r="H11" s="37">
        <f t="shared" si="1"/>
        <v>250000</v>
      </c>
      <c r="I11" s="205">
        <f>40000</f>
        <v>40000</v>
      </c>
      <c r="J11" s="205">
        <f>7630</f>
        <v>7630</v>
      </c>
      <c r="K11" s="205"/>
      <c r="L11" s="205"/>
      <c r="M11" s="205"/>
      <c r="N11" s="205"/>
      <c r="O11" s="205"/>
      <c r="P11" s="205"/>
      <c r="Q11" s="205"/>
      <c r="R11" s="205">
        <f>61020</f>
        <v>61020</v>
      </c>
      <c r="S11" s="205">
        <f>81350+56000</f>
        <v>137350</v>
      </c>
      <c r="T11" s="205">
        <v>4000</v>
      </c>
      <c r="U11" s="39">
        <f t="shared" si="2"/>
        <v>47630</v>
      </c>
      <c r="V11" s="40">
        <f>47629.24</f>
        <v>47629.24</v>
      </c>
      <c r="W11" s="40">
        <f>47629.24</f>
        <v>47629.24</v>
      </c>
      <c r="X11" s="41">
        <f t="shared" si="0"/>
        <v>0</v>
      </c>
      <c r="Y11" s="40">
        <f>47629.24</f>
        <v>47629.24</v>
      </c>
      <c r="Z11" s="41">
        <f t="shared" si="3"/>
        <v>0</v>
      </c>
      <c r="AA11" s="42">
        <f t="shared" si="4"/>
        <v>-0.76000000000203727</v>
      </c>
      <c r="AB11" s="258"/>
      <c r="AC11" s="258"/>
    </row>
    <row r="12" spans="1:31" ht="15" customHeight="1" thickBot="1" x14ac:dyDescent="0.3">
      <c r="A12" t="s">
        <v>420</v>
      </c>
      <c r="B12" s="102" t="s">
        <v>421</v>
      </c>
      <c r="C12">
        <v>84198.720000000001</v>
      </c>
      <c r="D12" t="s">
        <v>225</v>
      </c>
      <c r="E12" s="44">
        <v>7</v>
      </c>
      <c r="F12" s="175" t="s">
        <v>33</v>
      </c>
      <c r="G12" s="44">
        <v>2240</v>
      </c>
      <c r="H12" s="37">
        <f t="shared" si="1"/>
        <v>500000</v>
      </c>
      <c r="I12" s="205"/>
      <c r="J12" s="205">
        <f>41900+36824</f>
        <v>78724</v>
      </c>
      <c r="K12" s="205">
        <f>21196</f>
        <v>21196</v>
      </c>
      <c r="L12" s="205"/>
      <c r="M12" s="205">
        <f>84100-34000</f>
        <v>50100</v>
      </c>
      <c r="N12" s="205"/>
      <c r="O12" s="205">
        <v>42000</v>
      </c>
      <c r="P12" s="205">
        <v>42000</v>
      </c>
      <c r="Q12" s="205">
        <v>42000</v>
      </c>
      <c r="R12" s="205">
        <f>42000+34000</f>
        <v>76000</v>
      </c>
      <c r="S12" s="205">
        <f>41000-16020+82000</f>
        <v>106980</v>
      </c>
      <c r="T12" s="205">
        <v>41000</v>
      </c>
      <c r="U12" s="39">
        <f t="shared" si="2"/>
        <v>192020</v>
      </c>
      <c r="V12" s="40">
        <f>60456+39461.28+49903.68</f>
        <v>149820.96</v>
      </c>
      <c r="W12" s="40">
        <f>60456+39461.28+49903.68</f>
        <v>149820.96</v>
      </c>
      <c r="X12" s="41">
        <f t="shared" si="0"/>
        <v>0</v>
      </c>
      <c r="Y12" s="40">
        <f>60456+39461.28+49903.68</f>
        <v>149820.96</v>
      </c>
      <c r="Z12" s="41">
        <f t="shared" si="3"/>
        <v>0</v>
      </c>
      <c r="AA12" s="42">
        <f t="shared" si="4"/>
        <v>-42199.040000000008</v>
      </c>
      <c r="AB12" s="258"/>
      <c r="AC12" s="258"/>
      <c r="AD12" s="103">
        <f>H12-Y12</f>
        <v>350179.04000000004</v>
      </c>
    </row>
    <row r="13" spans="1:31" ht="26.25" thickBot="1" x14ac:dyDescent="0.3">
      <c r="A13" t="s">
        <v>413</v>
      </c>
      <c r="B13" s="102">
        <v>44734</v>
      </c>
      <c r="C13">
        <v>49950.64</v>
      </c>
      <c r="D13" t="s">
        <v>414</v>
      </c>
      <c r="E13" s="300">
        <v>8</v>
      </c>
      <c r="F13" s="295" t="s">
        <v>419</v>
      </c>
      <c r="G13" s="44">
        <v>2240</v>
      </c>
      <c r="H13" s="37">
        <f>SUM(I13:T13)</f>
        <v>199000</v>
      </c>
      <c r="I13" s="205"/>
      <c r="J13" s="205"/>
      <c r="K13" s="205"/>
      <c r="L13" s="205"/>
      <c r="M13" s="205"/>
      <c r="N13" s="276">
        <v>199000</v>
      </c>
      <c r="O13" s="205"/>
      <c r="P13" s="205"/>
      <c r="Q13" s="205"/>
      <c r="R13" s="205"/>
      <c r="S13" s="205"/>
      <c r="T13" s="205">
        <f>99000+100000-199000</f>
        <v>0</v>
      </c>
      <c r="U13" s="39">
        <f t="shared" si="2"/>
        <v>199000</v>
      </c>
      <c r="V13" s="40"/>
      <c r="W13" s="40"/>
      <c r="X13" s="41">
        <f t="shared" si="0"/>
        <v>0</v>
      </c>
      <c r="Y13" s="40">
        <f>49950.64</f>
        <v>49950.64</v>
      </c>
      <c r="Z13" s="41">
        <f t="shared" si="3"/>
        <v>49950.64</v>
      </c>
      <c r="AA13" s="42">
        <f t="shared" si="4"/>
        <v>-149049.35999999999</v>
      </c>
      <c r="AB13" s="258"/>
      <c r="AC13" s="258"/>
    </row>
    <row r="14" spans="1:31" ht="26.25" thickBot="1" x14ac:dyDescent="0.3">
      <c r="A14" t="s">
        <v>422</v>
      </c>
      <c r="B14" t="s">
        <v>423</v>
      </c>
      <c r="C14" t="s">
        <v>424</v>
      </c>
      <c r="D14" t="s">
        <v>386</v>
      </c>
      <c r="E14" s="300">
        <v>9</v>
      </c>
      <c r="F14" s="173" t="s">
        <v>34</v>
      </c>
      <c r="G14" s="44">
        <v>2240</v>
      </c>
      <c r="H14" s="37">
        <f t="shared" si="1"/>
        <v>199000</v>
      </c>
      <c r="I14" s="205"/>
      <c r="J14" s="205"/>
      <c r="K14" s="205">
        <v>44000</v>
      </c>
      <c r="L14" s="205"/>
      <c r="M14" s="205"/>
      <c r="N14" s="205">
        <f>27750+27750</f>
        <v>55500</v>
      </c>
      <c r="O14" s="205">
        <v>27750</v>
      </c>
      <c r="P14" s="205">
        <v>27750</v>
      </c>
      <c r="Q14" s="205">
        <v>22000</v>
      </c>
      <c r="R14" s="205">
        <v>22000</v>
      </c>
      <c r="S14" s="205"/>
      <c r="T14" s="205"/>
      <c r="U14" s="39">
        <f t="shared" si="2"/>
        <v>127250</v>
      </c>
      <c r="V14" s="40">
        <f>69000</f>
        <v>69000</v>
      </c>
      <c r="W14" s="40">
        <f>69000</f>
        <v>69000</v>
      </c>
      <c r="X14" s="41">
        <f t="shared" si="0"/>
        <v>0</v>
      </c>
      <c r="Y14" s="40">
        <f>69000</f>
        <v>69000</v>
      </c>
      <c r="Z14" s="41">
        <f t="shared" si="3"/>
        <v>0</v>
      </c>
      <c r="AA14" s="42">
        <f t="shared" si="4"/>
        <v>-58250</v>
      </c>
      <c r="AB14" s="258"/>
      <c r="AC14" s="258"/>
      <c r="AD14" s="103">
        <f>AA6+AA14+AA7+AA12</f>
        <v>-168629.96000000002</v>
      </c>
    </row>
    <row r="15" spans="1:31" ht="16.5" thickBot="1" x14ac:dyDescent="0.3">
      <c r="E15" s="300">
        <v>10</v>
      </c>
      <c r="F15" s="295" t="s">
        <v>408</v>
      </c>
      <c r="G15" s="44">
        <v>2240</v>
      </c>
      <c r="H15" s="37">
        <f t="shared" si="1"/>
        <v>1000000</v>
      </c>
      <c r="I15" s="205"/>
      <c r="J15" s="205"/>
      <c r="K15" s="205"/>
      <c r="L15" s="205"/>
      <c r="M15" s="205"/>
      <c r="N15" s="251">
        <v>1000000</v>
      </c>
      <c r="O15" s="205"/>
      <c r="P15" s="205"/>
      <c r="Q15" s="205"/>
      <c r="R15" s="205"/>
      <c r="S15" s="205"/>
      <c r="T15" s="205"/>
      <c r="U15" s="39">
        <f t="shared" si="2"/>
        <v>1000000</v>
      </c>
      <c r="V15" s="40"/>
      <c r="W15" s="40"/>
      <c r="X15" s="41">
        <f t="shared" si="0"/>
        <v>0</v>
      </c>
      <c r="Y15" s="40"/>
      <c r="Z15" s="41">
        <f t="shared" si="3"/>
        <v>0</v>
      </c>
      <c r="AA15" s="42">
        <f t="shared" si="4"/>
        <v>-1000000</v>
      </c>
      <c r="AB15" s="258"/>
      <c r="AC15" s="258"/>
    </row>
    <row r="16" spans="1:31" ht="26.25" thickBot="1" x14ac:dyDescent="0.3">
      <c r="A16" t="s">
        <v>243</v>
      </c>
      <c r="D16" t="s">
        <v>242</v>
      </c>
      <c r="E16" s="300">
        <v>11</v>
      </c>
      <c r="F16" s="45" t="s">
        <v>36</v>
      </c>
      <c r="G16" s="44">
        <v>2240</v>
      </c>
      <c r="H16" s="37">
        <f t="shared" si="1"/>
        <v>49000</v>
      </c>
      <c r="I16" s="205">
        <v>20000</v>
      </c>
      <c r="J16" s="205"/>
      <c r="K16" s="205"/>
      <c r="L16" s="205"/>
      <c r="M16" s="205"/>
      <c r="N16" s="205"/>
      <c r="O16" s="205"/>
      <c r="P16" s="276"/>
      <c r="Q16" s="276"/>
      <c r="R16" s="276"/>
      <c r="S16" s="205"/>
      <c r="T16" s="205">
        <v>29000</v>
      </c>
      <c r="U16" s="39">
        <f t="shared" si="2"/>
        <v>20000</v>
      </c>
      <c r="V16" s="40">
        <f>19994.59</f>
        <v>19994.59</v>
      </c>
      <c r="W16" s="40">
        <f>19994.59</f>
        <v>19994.59</v>
      </c>
      <c r="X16" s="41">
        <f t="shared" si="0"/>
        <v>0</v>
      </c>
      <c r="Y16" s="40">
        <f>19994.59</f>
        <v>19994.59</v>
      </c>
      <c r="Z16" s="41">
        <f t="shared" si="3"/>
        <v>0</v>
      </c>
      <c r="AA16" s="42">
        <f t="shared" si="4"/>
        <v>-5.4099999999998545</v>
      </c>
      <c r="AB16" s="258"/>
      <c r="AC16" s="258"/>
    </row>
    <row r="17" spans="1:31" ht="26.25" thickBot="1" x14ac:dyDescent="0.3">
      <c r="E17" s="300">
        <v>12</v>
      </c>
      <c r="F17" s="45" t="s">
        <v>37</v>
      </c>
      <c r="G17" s="44">
        <v>2240</v>
      </c>
      <c r="H17" s="37">
        <f t="shared" si="1"/>
        <v>348000</v>
      </c>
      <c r="I17" s="205"/>
      <c r="J17" s="205"/>
      <c r="K17" s="205"/>
      <c r="L17" s="205"/>
      <c r="M17" s="205"/>
      <c r="N17" s="205"/>
      <c r="O17" s="205"/>
      <c r="P17" s="276">
        <f>110000-110000</f>
        <v>0</v>
      </c>
      <c r="Q17" s="276"/>
      <c r="R17" s="276">
        <f>8900+110000</f>
        <v>118900</v>
      </c>
      <c r="S17" s="205">
        <f>101100</f>
        <v>101100</v>
      </c>
      <c r="T17" s="205">
        <v>128000</v>
      </c>
      <c r="U17" s="39">
        <f t="shared" si="2"/>
        <v>0</v>
      </c>
      <c r="V17" s="40"/>
      <c r="W17" s="40"/>
      <c r="X17" s="41">
        <f t="shared" si="0"/>
        <v>0</v>
      </c>
      <c r="Y17" s="40"/>
      <c r="Z17" s="41">
        <f t="shared" si="3"/>
        <v>0</v>
      </c>
      <c r="AA17" s="42">
        <f t="shared" si="4"/>
        <v>0</v>
      </c>
      <c r="AB17" s="258"/>
      <c r="AC17" s="258"/>
    </row>
    <row r="18" spans="1:31" ht="26.25" thickBot="1" x14ac:dyDescent="0.3">
      <c r="A18" t="s">
        <v>349</v>
      </c>
      <c r="D18" t="s">
        <v>348</v>
      </c>
      <c r="E18" s="300">
        <v>13</v>
      </c>
      <c r="F18" s="45" t="s">
        <v>38</v>
      </c>
      <c r="G18" s="44">
        <v>2240</v>
      </c>
      <c r="H18" s="37">
        <f t="shared" si="1"/>
        <v>49000</v>
      </c>
      <c r="I18" s="205">
        <v>5000</v>
      </c>
      <c r="J18" s="205">
        <f>5000+8900</f>
        <v>13900</v>
      </c>
      <c r="K18" s="205">
        <f>30100</f>
        <v>30100</v>
      </c>
      <c r="L18" s="205"/>
      <c r="M18" s="205"/>
      <c r="N18" s="205"/>
      <c r="O18" s="205"/>
      <c r="P18" s="205"/>
      <c r="Q18" s="205"/>
      <c r="R18" s="205"/>
      <c r="S18" s="205"/>
      <c r="T18" s="205"/>
      <c r="U18" s="39">
        <f t="shared" si="2"/>
        <v>49000</v>
      </c>
      <c r="V18" s="40">
        <f>230+230+230+39406+627.69+230+785+230</f>
        <v>41968.69</v>
      </c>
      <c r="W18" s="40">
        <f>230+230+230+39406+627.69+230+785+230</f>
        <v>41968.69</v>
      </c>
      <c r="X18" s="41">
        <f t="shared" si="0"/>
        <v>0</v>
      </c>
      <c r="Y18" s="40">
        <f>230+230+230+39406+627.69+230+785+230</f>
        <v>41968.69</v>
      </c>
      <c r="Z18" s="41">
        <f t="shared" si="3"/>
        <v>0</v>
      </c>
      <c r="AA18" s="42">
        <f t="shared" si="4"/>
        <v>-7031.3099999999977</v>
      </c>
      <c r="AB18" s="258"/>
      <c r="AC18" s="258"/>
      <c r="AD18" s="103">
        <f>AA18+AA16+AA14+AA12+AA7+AA6</f>
        <v>-175666.68</v>
      </c>
    </row>
    <row r="19" spans="1:31" ht="39" thickBot="1" x14ac:dyDescent="0.3">
      <c r="D19" t="s">
        <v>376</v>
      </c>
      <c r="E19" s="300">
        <v>14</v>
      </c>
      <c r="F19" s="45" t="s">
        <v>364</v>
      </c>
      <c r="G19" s="44">
        <v>2240</v>
      </c>
      <c r="H19" s="37">
        <f t="shared" si="1"/>
        <v>8454</v>
      </c>
      <c r="I19" s="205"/>
      <c r="J19" s="205"/>
      <c r="K19" s="205">
        <f>8454</f>
        <v>8454</v>
      </c>
      <c r="L19" s="205"/>
      <c r="M19" s="205"/>
      <c r="N19" s="205"/>
      <c r="O19" s="205"/>
      <c r="P19" s="205"/>
      <c r="Q19" s="205"/>
      <c r="R19" s="205"/>
      <c r="S19" s="205"/>
      <c r="T19" s="205"/>
      <c r="U19" s="39">
        <f t="shared" si="2"/>
        <v>8454</v>
      </c>
      <c r="V19" s="40">
        <f>8453.88</f>
        <v>8453.8799999999992</v>
      </c>
      <c r="W19" s="40">
        <f>8453.88</f>
        <v>8453.8799999999992</v>
      </c>
      <c r="X19" s="41">
        <f t="shared" si="0"/>
        <v>0</v>
      </c>
      <c r="Y19" s="40">
        <f>8453.88</f>
        <v>8453.8799999999992</v>
      </c>
      <c r="Z19" s="41">
        <f t="shared" si="3"/>
        <v>0</v>
      </c>
      <c r="AA19" s="42">
        <f t="shared" si="4"/>
        <v>-0.12000000000080036</v>
      </c>
      <c r="AB19" s="258"/>
      <c r="AC19" s="258"/>
    </row>
    <row r="20" spans="1:31" ht="26.25" thickBot="1" x14ac:dyDescent="0.3">
      <c r="E20" s="300">
        <v>15</v>
      </c>
      <c r="F20" s="45" t="s">
        <v>39</v>
      </c>
      <c r="G20" s="44">
        <v>2240</v>
      </c>
      <c r="H20" s="37">
        <f t="shared" si="1"/>
        <v>199000</v>
      </c>
      <c r="I20" s="205"/>
      <c r="J20" s="205"/>
      <c r="K20" s="205"/>
      <c r="L20" s="205"/>
      <c r="M20" s="205"/>
      <c r="N20" s="205"/>
      <c r="O20" s="205"/>
      <c r="P20" s="205"/>
      <c r="Q20" s="205"/>
      <c r="R20" s="205">
        <f>58401</f>
        <v>58401</v>
      </c>
      <c r="S20" s="205">
        <f>99000+41599</f>
        <v>140599</v>
      </c>
      <c r="T20" s="205"/>
      <c r="U20" s="39">
        <f t="shared" si="2"/>
        <v>0</v>
      </c>
      <c r="V20" s="40"/>
      <c r="W20" s="40"/>
      <c r="X20" s="41">
        <f t="shared" si="0"/>
        <v>0</v>
      </c>
      <c r="Y20" s="40"/>
      <c r="Z20" s="41">
        <f t="shared" si="3"/>
        <v>0</v>
      </c>
      <c r="AA20" s="42">
        <f t="shared" si="4"/>
        <v>0</v>
      </c>
      <c r="AB20" s="258"/>
      <c r="AC20" s="258"/>
    </row>
    <row r="21" spans="1:31" ht="16.5" thickBot="1" x14ac:dyDescent="0.3">
      <c r="E21" s="300">
        <v>16</v>
      </c>
      <c r="F21" s="45" t="s">
        <v>40</v>
      </c>
      <c r="G21" s="44">
        <v>2240</v>
      </c>
      <c r="H21" s="37">
        <f>SUM(I21:T21)</f>
        <v>1562000</v>
      </c>
      <c r="I21" s="205">
        <f>SUM(I22:I28)</f>
        <v>0</v>
      </c>
      <c r="J21" s="205">
        <f t="shared" ref="J21:S21" si="5">SUM(J22:J28)</f>
        <v>0</v>
      </c>
      <c r="K21" s="205">
        <f t="shared" si="5"/>
        <v>0</v>
      </c>
      <c r="L21" s="205">
        <f t="shared" si="5"/>
        <v>0</v>
      </c>
      <c r="M21" s="205">
        <f t="shared" si="5"/>
        <v>150000</v>
      </c>
      <c r="N21" s="205">
        <f t="shared" si="5"/>
        <v>301000</v>
      </c>
      <c r="O21" s="205">
        <f t="shared" si="5"/>
        <v>27000</v>
      </c>
      <c r="P21" s="205">
        <f t="shared" si="5"/>
        <v>37000</v>
      </c>
      <c r="Q21" s="205">
        <f t="shared" si="5"/>
        <v>37000</v>
      </c>
      <c r="R21" s="205">
        <f t="shared" si="5"/>
        <v>37000</v>
      </c>
      <c r="S21" s="205">
        <f t="shared" si="5"/>
        <v>395000</v>
      </c>
      <c r="T21" s="205">
        <f>SUM(T22:T28)</f>
        <v>578000</v>
      </c>
      <c r="U21" s="38">
        <f>SUM(U22:U28)</f>
        <v>478000</v>
      </c>
      <c r="V21" s="38">
        <f>SUM(V22:V28)</f>
        <v>0</v>
      </c>
      <c r="W21" s="38">
        <f t="shared" ref="W21:AA21" si="6">SUM(W22:W28)</f>
        <v>0</v>
      </c>
      <c r="X21" s="38">
        <f t="shared" si="6"/>
        <v>0</v>
      </c>
      <c r="Y21" s="38">
        <f t="shared" si="6"/>
        <v>0</v>
      </c>
      <c r="Z21" s="38">
        <f t="shared" si="6"/>
        <v>0</v>
      </c>
      <c r="AA21" s="38">
        <f t="shared" si="6"/>
        <v>-478000</v>
      </c>
      <c r="AB21" s="259"/>
      <c r="AC21" s="259"/>
    </row>
    <row r="22" spans="1:31" ht="18" customHeight="1" thickBot="1" x14ac:dyDescent="0.3">
      <c r="E22" s="301" t="s">
        <v>365</v>
      </c>
      <c r="F22" s="294" t="s">
        <v>406</v>
      </c>
      <c r="G22" s="47"/>
      <c r="H22" s="37">
        <f t="shared" si="1"/>
        <v>199000</v>
      </c>
      <c r="I22" s="205"/>
      <c r="J22" s="205"/>
      <c r="K22" s="205"/>
      <c r="L22" s="205"/>
      <c r="M22" s="205"/>
      <c r="N22" s="291">
        <v>199000</v>
      </c>
      <c r="O22" s="205"/>
      <c r="P22" s="205"/>
      <c r="Q22" s="205"/>
      <c r="R22" s="205"/>
      <c r="S22" s="205"/>
      <c r="T22" s="205"/>
      <c r="U22" s="39">
        <f t="shared" si="2"/>
        <v>199000</v>
      </c>
      <c r="V22" s="40"/>
      <c r="W22" s="40"/>
      <c r="X22" s="41">
        <f t="shared" ref="X22:X29" si="7">W22-V22</f>
        <v>0</v>
      </c>
      <c r="Y22" s="40"/>
      <c r="Z22" s="41">
        <f t="shared" ref="Z22:Z29" si="8">Y22-V22</f>
        <v>0</v>
      </c>
      <c r="AA22" s="293">
        <f t="shared" ref="AA22:AA29" si="9">Y22-U22</f>
        <v>-199000</v>
      </c>
      <c r="AB22" s="310"/>
      <c r="AC22" s="258">
        <f>AA22+AA24+AA15+AA13</f>
        <v>-1450049.3599999999</v>
      </c>
    </row>
    <row r="23" spans="1:31" ht="18.75" customHeight="1" thickBot="1" x14ac:dyDescent="0.3">
      <c r="E23" s="301" t="s">
        <v>366</v>
      </c>
      <c r="F23" s="277" t="s">
        <v>267</v>
      </c>
      <c r="G23" s="47"/>
      <c r="H23" s="37">
        <f t="shared" si="1"/>
        <v>150000</v>
      </c>
      <c r="I23" s="205"/>
      <c r="J23" s="205"/>
      <c r="K23" s="205"/>
      <c r="L23" s="205"/>
      <c r="M23" s="205">
        <v>150000</v>
      </c>
      <c r="N23" s="205"/>
      <c r="O23" s="205"/>
      <c r="P23" s="205"/>
      <c r="Q23" s="205"/>
      <c r="R23" s="205"/>
      <c r="S23" s="205"/>
      <c r="T23" s="205"/>
      <c r="U23" s="39">
        <f t="shared" si="2"/>
        <v>150000</v>
      </c>
      <c r="V23" s="40"/>
      <c r="W23" s="40"/>
      <c r="X23" s="41">
        <f t="shared" si="7"/>
        <v>0</v>
      </c>
      <c r="Y23" s="40"/>
      <c r="Z23" s="41">
        <f t="shared" si="8"/>
        <v>0</v>
      </c>
      <c r="AA23" s="293">
        <f t="shared" si="9"/>
        <v>-150000</v>
      </c>
      <c r="AB23" s="310"/>
      <c r="AC23" s="258">
        <f>AA46-AC22</f>
        <v>-633838.92000000016</v>
      </c>
    </row>
    <row r="24" spans="1:31" ht="26.25" thickBot="1" x14ac:dyDescent="0.3">
      <c r="E24" s="301" t="s">
        <v>367</v>
      </c>
      <c r="F24" s="294" t="s">
        <v>407</v>
      </c>
      <c r="G24" s="47"/>
      <c r="H24" s="37">
        <f t="shared" si="1"/>
        <v>110000</v>
      </c>
      <c r="I24" s="205"/>
      <c r="J24" s="205"/>
      <c r="K24" s="205"/>
      <c r="L24" s="205"/>
      <c r="M24" s="205"/>
      <c r="N24" s="251">
        <v>102000</v>
      </c>
      <c r="O24" s="205"/>
      <c r="P24" s="205"/>
      <c r="Q24" s="205"/>
      <c r="R24" s="205"/>
      <c r="S24" s="205">
        <f>50000+60000-102000</f>
        <v>8000</v>
      </c>
      <c r="T24" s="205"/>
      <c r="U24" s="39">
        <f t="shared" si="2"/>
        <v>102000</v>
      </c>
      <c r="V24" s="40"/>
      <c r="W24" s="40"/>
      <c r="X24" s="41">
        <f t="shared" si="7"/>
        <v>0</v>
      </c>
      <c r="Y24" s="40"/>
      <c r="Z24" s="41">
        <f t="shared" si="8"/>
        <v>0</v>
      </c>
      <c r="AA24" s="293">
        <f t="shared" si="9"/>
        <v>-102000</v>
      </c>
      <c r="AB24" s="310"/>
      <c r="AC24" s="258"/>
    </row>
    <row r="25" spans="1:31" ht="26.25" thickBot="1" x14ac:dyDescent="0.3">
      <c r="E25" s="301" t="s">
        <v>368</v>
      </c>
      <c r="F25" s="277" t="s">
        <v>41</v>
      </c>
      <c r="G25" s="47"/>
      <c r="H25" s="37">
        <f t="shared" si="1"/>
        <v>49000</v>
      </c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>
        <v>49000</v>
      </c>
      <c r="U25" s="39">
        <f t="shared" si="2"/>
        <v>0</v>
      </c>
      <c r="V25" s="40"/>
      <c r="W25" s="40"/>
      <c r="X25" s="41">
        <f t="shared" si="7"/>
        <v>0</v>
      </c>
      <c r="Y25" s="40"/>
      <c r="Z25" s="41">
        <f t="shared" si="8"/>
        <v>0</v>
      </c>
      <c r="AA25" s="293">
        <f t="shared" si="9"/>
        <v>0</v>
      </c>
      <c r="AB25" s="310"/>
      <c r="AC25" s="258"/>
    </row>
    <row r="26" spans="1:31" ht="51.75" thickBot="1" x14ac:dyDescent="0.3">
      <c r="E26" s="301" t="s">
        <v>369</v>
      </c>
      <c r="F26" s="277" t="s">
        <v>42</v>
      </c>
      <c r="G26" s="47"/>
      <c r="H26" s="37">
        <f t="shared" si="1"/>
        <v>199000</v>
      </c>
      <c r="I26" s="205"/>
      <c r="J26" s="205"/>
      <c r="K26" s="205"/>
      <c r="L26" s="205"/>
      <c r="M26" s="205"/>
      <c r="N26" s="276">
        <f>99000+100000-199000</f>
        <v>0</v>
      </c>
      <c r="O26" s="205"/>
      <c r="P26" s="205"/>
      <c r="Q26" s="205"/>
      <c r="R26" s="205"/>
      <c r="S26" s="205"/>
      <c r="T26" s="205">
        <v>199000</v>
      </c>
      <c r="U26" s="39">
        <f t="shared" si="2"/>
        <v>0</v>
      </c>
      <c r="V26" s="40"/>
      <c r="W26" s="40"/>
      <c r="X26" s="41">
        <f t="shared" si="7"/>
        <v>0</v>
      </c>
      <c r="Y26" s="40"/>
      <c r="Z26" s="41">
        <f t="shared" si="8"/>
        <v>0</v>
      </c>
      <c r="AA26" s="293">
        <f t="shared" si="9"/>
        <v>0</v>
      </c>
      <c r="AB26" s="310"/>
      <c r="AC26" s="258"/>
    </row>
    <row r="27" spans="1:31" ht="21.75" customHeight="1" thickBot="1" x14ac:dyDescent="0.3">
      <c r="E27" s="301" t="s">
        <v>370</v>
      </c>
      <c r="F27" s="46" t="s">
        <v>268</v>
      </c>
      <c r="G27" s="47"/>
      <c r="H27" s="37">
        <f t="shared" si="1"/>
        <v>205000</v>
      </c>
      <c r="I27" s="205"/>
      <c r="J27" s="205"/>
      <c r="K27" s="205"/>
      <c r="L27" s="205"/>
      <c r="M27" s="205"/>
      <c r="N27" s="205"/>
      <c r="O27" s="205">
        <f>27000</f>
        <v>27000</v>
      </c>
      <c r="P27" s="205">
        <v>37000</v>
      </c>
      <c r="Q27" s="205">
        <v>37000</v>
      </c>
      <c r="R27" s="205">
        <v>37000</v>
      </c>
      <c r="S27" s="205">
        <v>37000</v>
      </c>
      <c r="T27" s="205">
        <v>30000</v>
      </c>
      <c r="U27" s="39">
        <f t="shared" si="2"/>
        <v>27000</v>
      </c>
      <c r="V27" s="40"/>
      <c r="W27" s="40"/>
      <c r="X27" s="41">
        <f t="shared" si="7"/>
        <v>0</v>
      </c>
      <c r="Y27" s="40"/>
      <c r="Z27" s="41">
        <f t="shared" si="8"/>
        <v>0</v>
      </c>
      <c r="AA27" s="42">
        <f t="shared" si="9"/>
        <v>-27000</v>
      </c>
      <c r="AB27" s="258"/>
      <c r="AC27" s="258"/>
    </row>
    <row r="28" spans="1:31" ht="42.75" customHeight="1" thickBot="1" x14ac:dyDescent="0.3">
      <c r="E28" s="301" t="s">
        <v>371</v>
      </c>
      <c r="F28" s="46" t="s">
        <v>43</v>
      </c>
      <c r="G28" s="47"/>
      <c r="H28" s="37">
        <f t="shared" si="1"/>
        <v>650000</v>
      </c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>
        <f>350000</f>
        <v>350000</v>
      </c>
      <c r="T28" s="205">
        <f>300000</f>
        <v>300000</v>
      </c>
      <c r="U28" s="39">
        <f t="shared" si="2"/>
        <v>0</v>
      </c>
      <c r="V28" s="40"/>
      <c r="W28" s="40"/>
      <c r="X28" s="41">
        <f t="shared" si="7"/>
        <v>0</v>
      </c>
      <c r="Y28" s="40"/>
      <c r="Z28" s="41">
        <f t="shared" si="8"/>
        <v>0</v>
      </c>
      <c r="AA28" s="42">
        <f t="shared" si="9"/>
        <v>0</v>
      </c>
      <c r="AB28" s="258"/>
      <c r="AC28" s="258"/>
      <c r="AD28">
        <f>324707.17+43099</f>
        <v>367806.17</v>
      </c>
      <c r="AE28" s="103" t="e">
        <f>AE30-AD30</f>
        <v>#REF!</v>
      </c>
    </row>
    <row r="29" spans="1:31" ht="42.75" customHeight="1" thickBot="1" x14ac:dyDescent="0.3">
      <c r="E29" s="301" t="s">
        <v>417</v>
      </c>
      <c r="F29" s="287" t="s">
        <v>418</v>
      </c>
      <c r="G29" s="288">
        <v>2240</v>
      </c>
      <c r="H29" s="289">
        <f t="shared" ref="H29" si="10">SUM(I29:T29)</f>
        <v>5621</v>
      </c>
      <c r="I29" s="205"/>
      <c r="J29" s="205"/>
      <c r="K29" s="205"/>
      <c r="L29" s="205"/>
      <c r="M29" s="205"/>
      <c r="N29" s="205"/>
      <c r="O29" s="290">
        <v>5621</v>
      </c>
      <c r="P29" s="205"/>
      <c r="Q29" s="205"/>
      <c r="R29" s="205"/>
      <c r="S29" s="205"/>
      <c r="T29" s="205"/>
      <c r="U29" s="39">
        <f t="shared" si="2"/>
        <v>5621</v>
      </c>
      <c r="V29" s="40"/>
      <c r="W29" s="40"/>
      <c r="X29" s="41">
        <f t="shared" si="7"/>
        <v>0</v>
      </c>
      <c r="Y29" s="220">
        <f>5621</f>
        <v>5621</v>
      </c>
      <c r="Z29" s="41">
        <f t="shared" si="8"/>
        <v>5621</v>
      </c>
      <c r="AA29" s="42">
        <f t="shared" si="9"/>
        <v>0</v>
      </c>
      <c r="AB29" s="258"/>
      <c r="AC29" s="258"/>
      <c r="AE29" s="103"/>
    </row>
    <row r="30" spans="1:31" ht="26.25" thickBot="1" x14ac:dyDescent="0.3">
      <c r="E30" s="283">
        <f>E29+1</f>
        <v>18</v>
      </c>
      <c r="F30" s="111" t="s">
        <v>44</v>
      </c>
      <c r="G30" s="112">
        <v>2610</v>
      </c>
      <c r="H30" s="113">
        <f>SUM(H31:H33)</f>
        <v>14056000</v>
      </c>
      <c r="I30" s="207">
        <f>I31+I32+I33</f>
        <v>900000</v>
      </c>
      <c r="J30" s="207">
        <f t="shared" ref="J30:T30" si="11">J31+J32+J33</f>
        <v>1060600</v>
      </c>
      <c r="K30" s="207">
        <f t="shared" si="11"/>
        <v>1055600</v>
      </c>
      <c r="L30" s="207">
        <f t="shared" si="11"/>
        <v>1240600</v>
      </c>
      <c r="M30" s="207">
        <f t="shared" si="11"/>
        <v>1215600</v>
      </c>
      <c r="N30" s="207">
        <f t="shared" si="11"/>
        <v>2220600</v>
      </c>
      <c r="O30" s="207">
        <f t="shared" si="11"/>
        <v>1255600</v>
      </c>
      <c r="P30" s="207">
        <f t="shared" si="11"/>
        <v>1250600</v>
      </c>
      <c r="Q30" s="207">
        <f t="shared" si="11"/>
        <v>1185600</v>
      </c>
      <c r="R30" s="207">
        <f t="shared" si="11"/>
        <v>1225600</v>
      </c>
      <c r="S30" s="207">
        <f t="shared" si="11"/>
        <v>1155600</v>
      </c>
      <c r="T30" s="207">
        <f t="shared" si="11"/>
        <v>290000</v>
      </c>
      <c r="U30" s="113">
        <f t="shared" ref="U30:Z30" si="12">SUM(U31:U33)</f>
        <v>8948600</v>
      </c>
      <c r="V30" s="113">
        <f t="shared" si="12"/>
        <v>6738355.8900000006</v>
      </c>
      <c r="W30" s="113">
        <f t="shared" si="12"/>
        <v>6730786.3400000008</v>
      </c>
      <c r="X30" s="113">
        <f t="shared" si="12"/>
        <v>-7569.5499999998137</v>
      </c>
      <c r="Y30" s="113">
        <f t="shared" si="12"/>
        <v>6931375.1300000008</v>
      </c>
      <c r="Z30" s="113">
        <f t="shared" si="12"/>
        <v>193019.24000000022</v>
      </c>
      <c r="AA30" s="113">
        <f>SUM(AA31:AA33)</f>
        <v>-2017224.8699999992</v>
      </c>
      <c r="AB30" s="199"/>
      <c r="AC30" s="199">
        <v>6734485.3399999999</v>
      </c>
      <c r="AD30" s="199">
        <f>AC30-Y30</f>
        <v>-196889.79000000097</v>
      </c>
      <c r="AE30" s="103" t="e">
        <f>#REF!+#REF!+#REF!+#REF!+#REF!+#REF!+#REF!</f>
        <v>#REF!</v>
      </c>
    </row>
    <row r="31" spans="1:31" ht="16.5" thickBot="1" x14ac:dyDescent="0.3">
      <c r="E31" s="44"/>
      <c r="F31" s="292" t="s">
        <v>207</v>
      </c>
      <c r="G31" s="47">
        <v>2610</v>
      </c>
      <c r="H31" s="37">
        <f t="shared" si="1"/>
        <v>8250000</v>
      </c>
      <c r="I31" s="205">
        <v>500000</v>
      </c>
      <c r="J31" s="205">
        <v>600000</v>
      </c>
      <c r="K31" s="205">
        <v>600000</v>
      </c>
      <c r="L31" s="205">
        <v>700000</v>
      </c>
      <c r="M31" s="205">
        <v>760000</v>
      </c>
      <c r="N31" s="252">
        <f>765000-600000+600000+600000</f>
        <v>1365000</v>
      </c>
      <c r="O31" s="206">
        <v>765000</v>
      </c>
      <c r="P31" s="206">
        <v>760000</v>
      </c>
      <c r="Q31" s="206">
        <v>700000</v>
      </c>
      <c r="R31" s="206">
        <v>730000</v>
      </c>
      <c r="S31" s="206">
        <v>640000</v>
      </c>
      <c r="T31" s="206">
        <f>730000-600000</f>
        <v>130000</v>
      </c>
      <c r="U31" s="39">
        <f t="shared" si="2"/>
        <v>5290000</v>
      </c>
      <c r="V31" s="105">
        <f>336413.39+1442.96+149395.75+40854.98+227174.92+232411.06+93730.89+46828+40348.24+250297.26+12629.52+13062.06+11811.37+233830.04+41572.59+48587.66+353193.32+3391.6+26280.18+157725.81+53264.13+9450.92+46166.48+76033+17956.01+298881.73+27676.89+3400+30147+220704.32+84557.11+105554.93+17988.14+352630.66+40383.49+148981.9+341608+3019.04</f>
        <v>4199385.3500000006</v>
      </c>
      <c r="W31" s="105">
        <f>336413.39+1442.96+149395.75+40854.98+227174.92+232411.06+93730.89+46828+40348.24+250297.26+12629.52+13062.06+11811.37+233830.04+41572.59+48587.66+353193.32+3391.6+26280.18+157725.81+53264.13+9450.92+46166.48+76033+17956.01+298881.73+27676.89+3400+30147+220704.32+84557.11+105554.93+17988.14+352630.66+40383.49+148981.9+341608-3699</f>
        <v>4192667.3100000005</v>
      </c>
      <c r="X31" s="106">
        <f t="shared" ref="X31:X33" si="13">W31-V31</f>
        <v>-6718.0400000000373</v>
      </c>
      <c r="Y31" s="105">
        <f>336413.39+1442.96+149395.75+40854.98+227174.92+327321.95+46828+40348.24+245297.26+5000+8591.28+1977.36+2060.88+13062.06+3130+11811.37+233830.04+41572.59+48587.66+353193.32+3391.6+26280.18+157725.81+5130+53264.13+9450.92+46166.48+76033+17956.01+298881.73+27676.89+3400-9440+220704.32+30147+84557.11+105554.93+17988.14+352630.66+40383.49+148981.9+341608+3019.04+123419.75</f>
        <v>4322805.1000000006</v>
      </c>
      <c r="Z31" s="41">
        <f>Y31-V31</f>
        <v>123419.75</v>
      </c>
      <c r="AA31" s="42">
        <f t="shared" ref="AA31:AA33" si="14">Y31-U31</f>
        <v>-967194.89999999944</v>
      </c>
      <c r="AB31" s="258"/>
      <c r="AC31" s="258" t="e">
        <f>Y31-#REF!</f>
        <v>#REF!</v>
      </c>
      <c r="AD31" s="103" t="e">
        <f>Y31-#REF!</f>
        <v>#REF!</v>
      </c>
      <c r="AE31">
        <f>V31-Y31</f>
        <v>-123419.75</v>
      </c>
    </row>
    <row r="32" spans="1:31" ht="26.25" thickBot="1" x14ac:dyDescent="0.3">
      <c r="E32" s="44"/>
      <c r="F32" s="292" t="s">
        <v>45</v>
      </c>
      <c r="G32" s="47">
        <v>2610</v>
      </c>
      <c r="H32" s="37">
        <f t="shared" si="1"/>
        <v>5250000</v>
      </c>
      <c r="I32" s="205">
        <v>400000</v>
      </c>
      <c r="J32" s="205">
        <v>460000</v>
      </c>
      <c r="K32" s="205">
        <v>400000</v>
      </c>
      <c r="L32" s="205">
        <v>430000</v>
      </c>
      <c r="M32" s="205">
        <v>400000</v>
      </c>
      <c r="N32" s="252">
        <f>400000+400000</f>
        <v>800000</v>
      </c>
      <c r="O32" s="206">
        <v>435000</v>
      </c>
      <c r="P32" s="206">
        <v>435000</v>
      </c>
      <c r="Q32" s="206">
        <v>430000</v>
      </c>
      <c r="R32" s="206">
        <v>440000</v>
      </c>
      <c r="S32" s="205">
        <v>460000</v>
      </c>
      <c r="T32" s="205">
        <f>560000-400000</f>
        <v>160000</v>
      </c>
      <c r="U32" s="39">
        <f t="shared" si="2"/>
        <v>3325000</v>
      </c>
      <c r="V32" s="105">
        <f>107361.39+406.99+145679.87+74971.71+22107.59+59630.42+51401.88+10083.73+181964.48+50814.64+50000+10877.03+158129.51+5305.27+29760+56146.92+209375.23+39831.69+77577+9652.8+123125.28+13720+268.4+49617.56+74077.17+7349.12+7938.27+3700.52+80270+14550.35+124450.99+19500+12952+71677.01+20000+16231.76+35545.78+123918.79+17870.29+4953.65+130105.69+851.51</f>
        <v>2303752.29</v>
      </c>
      <c r="W32" s="105">
        <f>107361.39+406.99+145679.87+74971.71+22107.59+59630.42+51401.88+10083.73+181964.48+50814.64+50000+10877.03+158129.51+5305.27+29760+56146.92+209375.23+39831.69+77577+9652.8+123125.28+13720+268.4+49617.56+74077.17+7349.12+7938.27+3700.52+80270+14550.35+124450.99+19500+12952+71677.01+20000+16231.76+35545.78+123918.79+17870.29+4953.65+130105.69</f>
        <v>2302900.7800000003</v>
      </c>
      <c r="X32" s="106">
        <f t="shared" si="13"/>
        <v>-851.50999999977648</v>
      </c>
      <c r="Y32" s="105">
        <f>107361.39+406.99+145679.87+74971.71+22107.59+59630.42+51401.88+10083.73+241655.4+50000+40637.03+113179.51+44950-8591.28+5305.27+56146.92+209375.23+39831.69+77577+9652.8+123125.28+13720+268.4+49617.56+74077.17+352.8+7349.12+7938.27+3700.52+80270+14550.35+124450.99+19500-637.8+71677.01+12952+20000+16231.76+35545.78+123918.79+17870.29+4953.65+130105.69+851.51+69599.49</f>
        <v>2373351.7800000003</v>
      </c>
      <c r="Z32" s="41">
        <f>Y32-V32</f>
        <v>69599.490000000224</v>
      </c>
      <c r="AA32" s="42">
        <f t="shared" si="14"/>
        <v>-951648.21999999974</v>
      </c>
      <c r="AB32" s="258"/>
      <c r="AC32" s="258" t="e">
        <f>Y32-#REF!</f>
        <v>#REF!</v>
      </c>
      <c r="AD32" s="103" t="e">
        <f>Y32-#REF!</f>
        <v>#REF!</v>
      </c>
      <c r="AE32">
        <f>V32-Y32</f>
        <v>-69599.490000000224</v>
      </c>
    </row>
    <row r="33" spans="1:31" ht="26.25" thickBot="1" x14ac:dyDescent="0.3">
      <c r="E33" s="44"/>
      <c r="F33" s="46" t="s">
        <v>46</v>
      </c>
      <c r="G33" s="47">
        <v>2610</v>
      </c>
      <c r="H33" s="37">
        <f t="shared" si="1"/>
        <v>556000</v>
      </c>
      <c r="I33" s="205"/>
      <c r="J33" s="205">
        <v>600</v>
      </c>
      <c r="K33" s="205">
        <v>55600</v>
      </c>
      <c r="L33" s="205">
        <f>55600+55000</f>
        <v>110600</v>
      </c>
      <c r="M33" s="205">
        <v>55600</v>
      </c>
      <c r="N33" s="205">
        <v>55600</v>
      </c>
      <c r="O33" s="205">
        <v>55600</v>
      </c>
      <c r="P33" s="205">
        <v>55600</v>
      </c>
      <c r="Q33" s="205">
        <v>55600</v>
      </c>
      <c r="R33" s="205">
        <v>55600</v>
      </c>
      <c r="S33" s="205">
        <v>55600</v>
      </c>
      <c r="T33" s="206"/>
      <c r="U33" s="39">
        <f t="shared" si="2"/>
        <v>333600</v>
      </c>
      <c r="V33" s="40">
        <f>445+89+7792+34732.88+1558.4+22194+50602.19+1455.92+18500+32325.84+28700+1016.52+35806.5</f>
        <v>235218.25</v>
      </c>
      <c r="W33" s="40">
        <f>445+89+7792+34732.88+1558.4+22194+50602.19+1455.92+18500+32325.84+28700+1016.52+35806.5</f>
        <v>235218.25</v>
      </c>
      <c r="X33" s="41">
        <f t="shared" si="13"/>
        <v>0</v>
      </c>
      <c r="Y33" s="40">
        <f>445+89+7792+34732.88+1558.4+22194+50602.19+925+1455.92+18500-925+32325.84+28700+1016.52+35806.5</f>
        <v>235218.25</v>
      </c>
      <c r="Z33" s="41">
        <f t="shared" ref="Z33" si="15">Y33-V33</f>
        <v>0</v>
      </c>
      <c r="AA33" s="42">
        <f t="shared" si="14"/>
        <v>-98381.75</v>
      </c>
      <c r="AB33" s="258"/>
      <c r="AC33" s="258" t="e">
        <f>Y33-#REF!</f>
        <v>#REF!</v>
      </c>
      <c r="AD33" s="103" t="e">
        <f>Y33-#REF!</f>
        <v>#REF!</v>
      </c>
      <c r="AE33">
        <f>324707.17-11002.8</f>
        <v>313704.37</v>
      </c>
    </row>
    <row r="34" spans="1:31" ht="26.25" thickBot="1" x14ac:dyDescent="0.3">
      <c r="E34" s="284">
        <f>E30+1</f>
        <v>19</v>
      </c>
      <c r="F34" s="108" t="s">
        <v>47</v>
      </c>
      <c r="G34" s="109">
        <v>2610</v>
      </c>
      <c r="H34" s="110">
        <f>SUM(H35:H38)</f>
        <v>34844000</v>
      </c>
      <c r="I34" s="207">
        <f t="shared" ref="I34:T34" si="16">I35+I36+I38+I37</f>
        <v>2310000</v>
      </c>
      <c r="J34" s="207">
        <f t="shared" si="16"/>
        <v>1850000</v>
      </c>
      <c r="K34" s="207">
        <f t="shared" si="16"/>
        <v>2362298</v>
      </c>
      <c r="L34" s="207">
        <f t="shared" si="16"/>
        <v>4986248</v>
      </c>
      <c r="M34" s="207">
        <f t="shared" si="16"/>
        <v>6666458</v>
      </c>
      <c r="N34" s="207">
        <f>N35+N36+N38+N37</f>
        <v>6141000</v>
      </c>
      <c r="O34" s="207">
        <f t="shared" si="16"/>
        <v>3641000</v>
      </c>
      <c r="P34" s="207">
        <f t="shared" si="16"/>
        <v>1141000</v>
      </c>
      <c r="Q34" s="207">
        <f t="shared" si="16"/>
        <v>2531000</v>
      </c>
      <c r="R34" s="207">
        <f t="shared" si="16"/>
        <v>598129</v>
      </c>
      <c r="S34" s="207">
        <f t="shared" si="16"/>
        <v>986867</v>
      </c>
      <c r="T34" s="207">
        <f t="shared" si="16"/>
        <v>1630000</v>
      </c>
      <c r="U34" s="110">
        <f t="shared" ref="U34:AA34" si="17">SUM(U35:U38)</f>
        <v>27957004</v>
      </c>
      <c r="V34" s="110">
        <f t="shared" si="17"/>
        <v>22106270.699999999</v>
      </c>
      <c r="W34" s="110">
        <f t="shared" si="17"/>
        <v>21302712.659999996</v>
      </c>
      <c r="X34" s="110">
        <f t="shared" si="17"/>
        <v>-803558.04000000097</v>
      </c>
      <c r="Y34" s="110">
        <f t="shared" si="17"/>
        <v>22106270.699999999</v>
      </c>
      <c r="Z34" s="110">
        <f t="shared" si="17"/>
        <v>0</v>
      </c>
      <c r="AA34" s="110">
        <f t="shared" si="17"/>
        <v>-5850733.2999999989</v>
      </c>
      <c r="AB34" s="204"/>
      <c r="AC34" s="204">
        <v>21694241.989999998</v>
      </c>
      <c r="AD34" s="204">
        <f>AC34-Y34</f>
        <v>-412028.71000000089</v>
      </c>
      <c r="AE34" s="103">
        <f>AD34-Z34</f>
        <v>-412028.71000000089</v>
      </c>
    </row>
    <row r="35" spans="1:31" ht="26.25" thickBot="1" x14ac:dyDescent="0.3">
      <c r="E35" s="44"/>
      <c r="F35" s="46" t="s">
        <v>26</v>
      </c>
      <c r="G35" s="47">
        <v>2610</v>
      </c>
      <c r="H35" s="37">
        <f t="shared" si="1"/>
        <v>11000000</v>
      </c>
      <c r="I35" s="205">
        <v>810000</v>
      </c>
      <c r="J35" s="205">
        <v>850000</v>
      </c>
      <c r="K35" s="205">
        <f>920000-60000-122250.1</f>
        <v>737749.9</v>
      </c>
      <c r="L35" s="205">
        <f>920000+122250.1</f>
        <v>1042250.1</v>
      </c>
      <c r="M35" s="205">
        <v>980000</v>
      </c>
      <c r="N35" s="205">
        <v>980000</v>
      </c>
      <c r="O35" s="205">
        <v>980000</v>
      </c>
      <c r="P35" s="205">
        <v>980000</v>
      </c>
      <c r="Q35" s="205">
        <f>920000+361871</f>
        <v>1281871</v>
      </c>
      <c r="R35" s="205">
        <f>920000+40000-361871</f>
        <v>598129</v>
      </c>
      <c r="S35" s="206">
        <v>880000</v>
      </c>
      <c r="T35" s="206">
        <v>880000</v>
      </c>
      <c r="U35" s="39">
        <f t="shared" si="2"/>
        <v>6380000</v>
      </c>
      <c r="V35" s="40">
        <f>185919.11+501553.05+122431.72+337963.71+396458.71+12096+511490.68+51592.55+164571.19+47723.15+361738.11+40000+353798.51+54400+410252.15+13871+287825.46+287825.46+144623.49+433576.32</f>
        <v>4719710.3699999992</v>
      </c>
      <c r="W35" s="40">
        <f>185919.11+501553.05+122431.72+337963.71+396458.71+12096+511490.68+51592.55+164571.19+47723.15+361738.11+40000+353798.51+54400+410252.15+13871+287825.46+287825.46+144623.49+433576.32</f>
        <v>4719710.3699999992</v>
      </c>
      <c r="X35" s="41">
        <f t="shared" ref="X35:X38" si="18">W35-V35</f>
        <v>0</v>
      </c>
      <c r="Y35" s="40">
        <f>185919.11+501553.05+122431.72+337963.71+396458.71+12096+511490.68+51592.55+164571.19+47723.15+361738.11+40000+353798.51+54400+410252.15+287825.46+13871+287825.46+144623.49+433576.32</f>
        <v>4719710.3699999992</v>
      </c>
      <c r="Z35" s="41">
        <f t="shared" ref="Z35:Z38" si="19">Y35-V35</f>
        <v>0</v>
      </c>
      <c r="AA35" s="42">
        <f t="shared" ref="AA35:AA38" si="20">Y35-U35</f>
        <v>-1660289.6300000008</v>
      </c>
      <c r="AB35" s="258"/>
      <c r="AC35" s="258" t="e">
        <f>Y35-#REF!</f>
        <v>#REF!</v>
      </c>
      <c r="AD35" s="103" t="e">
        <f>Y35-#REF!</f>
        <v>#REF!</v>
      </c>
      <c r="AE35" s="103" t="e">
        <f>H35-#REF!</f>
        <v>#REF!</v>
      </c>
    </row>
    <row r="36" spans="1:31" ht="40.5" customHeight="1" thickBot="1" x14ac:dyDescent="0.3">
      <c r="E36" s="44"/>
      <c r="F36" s="292" t="s">
        <v>48</v>
      </c>
      <c r="G36" s="47">
        <v>2610</v>
      </c>
      <c r="H36" s="37">
        <f t="shared" si="1"/>
        <v>19774000</v>
      </c>
      <c r="I36" s="205"/>
      <c r="J36" s="205"/>
      <c r="K36" s="205">
        <f>830000+122250.1+156867+152298</f>
        <v>1261415.1000000001</v>
      </c>
      <c r="L36" s="205">
        <f>2000000-122250.1+1154080+50000+617168</f>
        <v>3698997.9</v>
      </c>
      <c r="M36" s="205">
        <f>2000000+450000+1281458-150000+2000000</f>
        <v>5581458</v>
      </c>
      <c r="N36" s="253">
        <f>2661000-2500000+2500000+2500000</f>
        <v>5161000</v>
      </c>
      <c r="O36" s="206">
        <v>2661000</v>
      </c>
      <c r="P36" s="253">
        <f>2661000-2500000</f>
        <v>161000</v>
      </c>
      <c r="Q36" s="206">
        <f>2661000-50000-1000000-361871</f>
        <v>1249129</v>
      </c>
      <c r="R36" s="205">
        <f>2000000-8900-133400-58401-99000-900000-162170-638129</f>
        <v>0</v>
      </c>
      <c r="S36" s="206"/>
      <c r="T36" s="206"/>
      <c r="U36" s="39">
        <f t="shared" si="2"/>
        <v>18363871</v>
      </c>
      <c r="V36" s="40">
        <f>300527+592033.84+54109.26+388580.63+477436.8+212394.04+1150849+411488.86+855030+1167520+531240+240013.87+1218420+987176.71+486100+1273880.73+341413.87+1268359.51+1105615.54+629088.11+289050.88+412028.71</f>
        <v>14392357.360000001</v>
      </c>
      <c r="W36" s="40">
        <f>300527+592033.84+54109.26+388580.63+477436.8+212394.04+1150849+411488.86+855030+1167520+531240+240013.87+1218420+987176.71+486100+1273880.73+341413.87+1268359.51+1105615.54+629088.11+289050.88+412028.71-803558.04</f>
        <v>13588799.32</v>
      </c>
      <c r="X36" s="41">
        <f t="shared" si="18"/>
        <v>-803558.04000000097</v>
      </c>
      <c r="Y36" s="40">
        <f>300527+54109.26+592033.84+388580.63+477436.8+212394.04+1150849+411488.86+855030+1167520+531240+240013.87+987176.71+486100+1218420+1273880.73+341413.87+1268359.51+1105615.54+629088.11+289050.88+412028.71</f>
        <v>14392357.360000001</v>
      </c>
      <c r="Z36" s="41">
        <f t="shared" si="19"/>
        <v>0</v>
      </c>
      <c r="AA36" s="42">
        <f t="shared" si="20"/>
        <v>-3971513.6399999987</v>
      </c>
      <c r="AB36" s="258"/>
      <c r="AC36" s="282" t="e">
        <f>Y36-#REF!</f>
        <v>#REF!</v>
      </c>
      <c r="AD36" s="103" t="e">
        <f>Y36-#REF!</f>
        <v>#REF!</v>
      </c>
      <c r="AE36" s="103">
        <f>AA36-Z36</f>
        <v>-3971513.6399999987</v>
      </c>
    </row>
    <row r="37" spans="1:31" ht="26.25" thickBot="1" x14ac:dyDescent="0.3">
      <c r="E37" s="44"/>
      <c r="F37" s="46" t="s">
        <v>49</v>
      </c>
      <c r="G37" s="47">
        <v>2610</v>
      </c>
      <c r="H37" s="37">
        <f t="shared" si="1"/>
        <v>3470000</v>
      </c>
      <c r="I37" s="205">
        <v>1500000</v>
      </c>
      <c r="J37" s="205">
        <v>1000000</v>
      </c>
      <c r="K37" s="205">
        <f>970000-450000-156867</f>
        <v>363133</v>
      </c>
      <c r="L37" s="205"/>
      <c r="M37" s="205"/>
      <c r="N37" s="206"/>
      <c r="O37" s="206"/>
      <c r="P37" s="206"/>
      <c r="Q37" s="206"/>
      <c r="R37" s="206"/>
      <c r="S37" s="206">
        <f>106867</f>
        <v>106867</v>
      </c>
      <c r="T37" s="206">
        <f>450000+50000</f>
        <v>500000</v>
      </c>
      <c r="U37" s="39">
        <f t="shared" si="2"/>
        <v>2863133</v>
      </c>
      <c r="V37" s="40">
        <f>305866.93+532639.13+225890.72+439879.48+491697.83+229204+99120+15595.2+570766.68</f>
        <v>2910659.97</v>
      </c>
      <c r="W37" s="40">
        <f>305866.93+532639.13+225890.72+439879.48+491697.83+229204+99120+15595.2+570766.68</f>
        <v>2910659.97</v>
      </c>
      <c r="X37" s="41">
        <f t="shared" si="18"/>
        <v>0</v>
      </c>
      <c r="Y37" s="40">
        <f>305866.93+532639.13+225890.72+439879.48+491697.83+12264+216940+99120+15595.2+570766.68</f>
        <v>2910659.97</v>
      </c>
      <c r="Z37" s="41">
        <f t="shared" si="19"/>
        <v>0</v>
      </c>
      <c r="AA37" s="42">
        <f t="shared" si="20"/>
        <v>47526.970000000205</v>
      </c>
      <c r="AB37" s="258"/>
      <c r="AC37" s="258" t="e">
        <f>Y37-#REF!</f>
        <v>#REF!</v>
      </c>
      <c r="AD37" s="103" t="e">
        <f>Y37-#REF!</f>
        <v>#REF!</v>
      </c>
      <c r="AE37" s="103"/>
    </row>
    <row r="38" spans="1:31" ht="26.25" thickBot="1" x14ac:dyDescent="0.3">
      <c r="E38" s="44"/>
      <c r="F38" s="46" t="s">
        <v>50</v>
      </c>
      <c r="G38" s="47">
        <v>2610</v>
      </c>
      <c r="H38" s="37">
        <f t="shared" si="1"/>
        <v>600000</v>
      </c>
      <c r="I38" s="205"/>
      <c r="J38" s="205"/>
      <c r="K38" s="205"/>
      <c r="L38" s="205">
        <v>245000</v>
      </c>
      <c r="M38" s="205">
        <v>105000</v>
      </c>
      <c r="N38" s="206"/>
      <c r="O38" s="206"/>
      <c r="P38" s="206"/>
      <c r="Q38" s="206"/>
      <c r="R38" s="206"/>
      <c r="S38" s="206"/>
      <c r="T38" s="206">
        <v>250000</v>
      </c>
      <c r="U38" s="39">
        <f t="shared" si="2"/>
        <v>350000</v>
      </c>
      <c r="V38" s="40">
        <f>43771+39772</f>
        <v>83543</v>
      </c>
      <c r="W38" s="40">
        <f>43771+39772</f>
        <v>83543</v>
      </c>
      <c r="X38" s="41">
        <f t="shared" si="18"/>
        <v>0</v>
      </c>
      <c r="Y38" s="40">
        <f>43771+39772</f>
        <v>83543</v>
      </c>
      <c r="Z38" s="41">
        <f t="shared" si="19"/>
        <v>0</v>
      </c>
      <c r="AA38" s="42">
        <f t="shared" si="20"/>
        <v>-266457</v>
      </c>
      <c r="AB38" s="258"/>
      <c r="AC38" s="258"/>
      <c r="AD38" s="103" t="e">
        <f>Y38-#REF!</f>
        <v>#REF!</v>
      </c>
    </row>
    <row r="39" spans="1:31" ht="39" thickBot="1" x14ac:dyDescent="0.3">
      <c r="E39" s="285">
        <f>E34+1</f>
        <v>20</v>
      </c>
      <c r="F39" s="114" t="s">
        <v>51</v>
      </c>
      <c r="G39" s="115">
        <v>2610</v>
      </c>
      <c r="H39" s="116">
        <f t="shared" ref="H39:Z39" si="21">SUM(H40+H41)</f>
        <v>5300000</v>
      </c>
      <c r="I39" s="207">
        <f>I40+I41</f>
        <v>300000</v>
      </c>
      <c r="J39" s="207">
        <f t="shared" ref="J39:T39" si="22">J40+J41</f>
        <v>300000</v>
      </c>
      <c r="K39" s="207">
        <f t="shared" si="22"/>
        <v>300000</v>
      </c>
      <c r="L39" s="207">
        <f t="shared" si="22"/>
        <v>515000</v>
      </c>
      <c r="M39" s="207">
        <f t="shared" si="22"/>
        <v>510000</v>
      </c>
      <c r="N39" s="207">
        <f t="shared" si="22"/>
        <v>505000</v>
      </c>
      <c r="O39" s="207">
        <f t="shared" si="22"/>
        <v>490000</v>
      </c>
      <c r="P39" s="207">
        <f t="shared" si="22"/>
        <v>490000</v>
      </c>
      <c r="Q39" s="207">
        <f t="shared" si="22"/>
        <v>490000</v>
      </c>
      <c r="R39" s="207">
        <f t="shared" si="22"/>
        <v>480000</v>
      </c>
      <c r="S39" s="207">
        <f t="shared" si="22"/>
        <v>480000</v>
      </c>
      <c r="T39" s="207">
        <f t="shared" si="22"/>
        <v>440000</v>
      </c>
      <c r="U39" s="116">
        <f t="shared" si="21"/>
        <v>2920000</v>
      </c>
      <c r="V39" s="116">
        <f t="shared" si="21"/>
        <v>2013639.7199999997</v>
      </c>
      <c r="W39" s="116">
        <f t="shared" si="21"/>
        <v>2013639.7199999997</v>
      </c>
      <c r="X39" s="116">
        <f t="shared" si="21"/>
        <v>0</v>
      </c>
      <c r="Y39" s="116">
        <f t="shared" si="21"/>
        <v>2013639.7199999997</v>
      </c>
      <c r="Z39" s="116">
        <f t="shared" si="21"/>
        <v>0</v>
      </c>
      <c r="AA39" s="116">
        <f>SUM(AA40+AA41)</f>
        <v>-906360.28000000026</v>
      </c>
      <c r="AB39" s="218"/>
      <c r="AC39" s="204">
        <f>2013639.72</f>
        <v>2013639.72</v>
      </c>
      <c r="AD39" s="103">
        <f>V39-AC39</f>
        <v>0</v>
      </c>
      <c r="AE39">
        <f>6734485.34-5506826.37</f>
        <v>1227658.9699999997</v>
      </c>
    </row>
    <row r="40" spans="1:31" ht="16.5" thickBot="1" x14ac:dyDescent="0.3">
      <c r="E40" s="44"/>
      <c r="F40" s="46" t="s">
        <v>52</v>
      </c>
      <c r="G40" s="47">
        <v>2610</v>
      </c>
      <c r="H40" s="37">
        <f t="shared" si="1"/>
        <v>5000000</v>
      </c>
      <c r="I40" s="206">
        <v>300000</v>
      </c>
      <c r="J40" s="206">
        <v>300000</v>
      </c>
      <c r="K40" s="206">
        <v>300000</v>
      </c>
      <c r="L40" s="206">
        <v>450000</v>
      </c>
      <c r="M40" s="206">
        <v>450000</v>
      </c>
      <c r="N40" s="206">
        <v>450000</v>
      </c>
      <c r="O40" s="206">
        <v>450000</v>
      </c>
      <c r="P40" s="206">
        <v>450000</v>
      </c>
      <c r="Q40" s="206">
        <v>450000</v>
      </c>
      <c r="R40" s="206">
        <v>480000</v>
      </c>
      <c r="S40" s="206">
        <v>480000</v>
      </c>
      <c r="T40" s="206">
        <v>440000</v>
      </c>
      <c r="U40" s="39">
        <f t="shared" si="2"/>
        <v>2700000</v>
      </c>
      <c r="V40" s="117">
        <f>79991.89+105964.72+114888.1+82358+35741.6+146679.6+41733.7+166400.75+221816.47-29128.23+70767+154981.62+190977.1+51649.51+199936.89+57711.31+201104.71</f>
        <v>1893574.7399999998</v>
      </c>
      <c r="W40" s="117">
        <f>79991.89+105964.72+114888.1+82358+35741.6+146679.6+41733.7+166400.75+221816.47-29128.23+70767+154981.62+190977.1+51649.51+199936.89+57711.31+201104.71</f>
        <v>1893574.7399999998</v>
      </c>
      <c r="X40" s="41">
        <f t="shared" ref="X40:X45" si="23">W40-V40</f>
        <v>0</v>
      </c>
      <c r="Y40" s="105">
        <f>79991.89+105964.72+114888.1+82358+35741.6+146679.6+41733.7+166400.75+221816.47-29128.23+70767+154981.62+190977.1+51649.51+199936.89+57711.31+201104.71</f>
        <v>1893574.7399999998</v>
      </c>
      <c r="Z40" s="41">
        <f t="shared" ref="Z40:Z45" si="24">Y40-V40</f>
        <v>0</v>
      </c>
      <c r="AA40" s="42">
        <f t="shared" ref="AA40:AA41" si="25">Y40-U40</f>
        <v>-806425.26000000024</v>
      </c>
      <c r="AB40" s="258"/>
      <c r="AC40" s="258" t="e">
        <f>Y40-#REF!</f>
        <v>#REF!</v>
      </c>
      <c r="AD40" s="103">
        <v>1923359.52</v>
      </c>
      <c r="AE40" s="103">
        <f>Y40-AD40</f>
        <v>-29784.780000000261</v>
      </c>
    </row>
    <row r="41" spans="1:31" ht="26.25" thickBot="1" x14ac:dyDescent="0.3">
      <c r="E41" s="44"/>
      <c r="F41" s="46" t="s">
        <v>372</v>
      </c>
      <c r="G41" s="47">
        <v>2610</v>
      </c>
      <c r="H41" s="37">
        <f t="shared" si="1"/>
        <v>300000</v>
      </c>
      <c r="I41" s="206"/>
      <c r="J41" s="206"/>
      <c r="K41" s="206"/>
      <c r="L41" s="206">
        <v>65000</v>
      </c>
      <c r="M41" s="206">
        <v>60000</v>
      </c>
      <c r="N41" s="206">
        <v>55000</v>
      </c>
      <c r="O41" s="206">
        <v>40000</v>
      </c>
      <c r="P41" s="206">
        <v>40000</v>
      </c>
      <c r="Q41" s="206">
        <v>40000</v>
      </c>
      <c r="R41" s="206"/>
      <c r="S41" s="206"/>
      <c r="T41" s="206"/>
      <c r="U41" s="39">
        <f t="shared" si="2"/>
        <v>220000</v>
      </c>
      <c r="V41" s="117">
        <f>12924.66+29128.23+13335.6+41465.82+6141.39+1228.28+21009-5168</f>
        <v>120064.98</v>
      </c>
      <c r="W41" s="117">
        <f>12924.66+29128.23+13335.6+41465.82+6141.39+1228.28+21009-5168</f>
        <v>120064.98</v>
      </c>
      <c r="X41" s="41">
        <f t="shared" si="23"/>
        <v>0</v>
      </c>
      <c r="Y41" s="117">
        <f>12924.66+29128.23+13335.6+41465.82+6141.39+1228.28+21009-5168</f>
        <v>120064.98</v>
      </c>
      <c r="Z41" s="41">
        <f t="shared" si="24"/>
        <v>0</v>
      </c>
      <c r="AA41" s="42">
        <f t="shared" si="25"/>
        <v>-99935.02</v>
      </c>
      <c r="AB41" s="258"/>
      <c r="AC41" s="258" t="e">
        <f>Y41-#REF!</f>
        <v>#REF!</v>
      </c>
      <c r="AD41">
        <v>188926.49</v>
      </c>
      <c r="AE41" s="103">
        <f>Y41-AD41</f>
        <v>-68861.509999999995</v>
      </c>
    </row>
    <row r="42" spans="1:31" ht="16.5" thickBot="1" x14ac:dyDescent="0.3">
      <c r="A42" t="s">
        <v>361</v>
      </c>
      <c r="B42" t="s">
        <v>362</v>
      </c>
      <c r="C42" t="s">
        <v>206</v>
      </c>
      <c r="D42" t="s">
        <v>360</v>
      </c>
      <c r="E42" s="286">
        <f>E39+1</f>
        <v>21</v>
      </c>
      <c r="F42" s="48" t="s">
        <v>53</v>
      </c>
      <c r="G42" s="44">
        <v>2273</v>
      </c>
      <c r="H42" s="37">
        <f t="shared" si="1"/>
        <v>9000000</v>
      </c>
      <c r="I42" s="205">
        <v>700000</v>
      </c>
      <c r="J42" s="205">
        <v>800000</v>
      </c>
      <c r="K42" s="205">
        <v>1100000</v>
      </c>
      <c r="L42" s="205">
        <v>700000</v>
      </c>
      <c r="M42" s="276">
        <f>600000-400000</f>
        <v>200000</v>
      </c>
      <c r="N42" s="276"/>
      <c r="O42" s="276">
        <f>600000+400000</f>
        <v>1000000</v>
      </c>
      <c r="P42" s="276">
        <f>600000+100000</f>
        <v>700000</v>
      </c>
      <c r="Q42" s="205">
        <v>600000</v>
      </c>
      <c r="R42" s="308">
        <v>800000</v>
      </c>
      <c r="S42" s="276">
        <f>900000+500000</f>
        <v>1400000</v>
      </c>
      <c r="T42" s="205">
        <v>1000000</v>
      </c>
      <c r="U42" s="39">
        <f t="shared" si="2"/>
        <v>4500000</v>
      </c>
      <c r="V42" s="40">
        <f>2871.49+5917.91+268465.15+44201.3+7857.08+54783.91+129858.6+118993.04+204241.55+489342.79+1533437.7+260.2+69483.52+3212.96+899.18+32432.94+79846.8</f>
        <v>3046106.12</v>
      </c>
      <c r="W42" s="40">
        <f>2871.49+5917.91+268465.15+44201.3+7857.08+54783.91+129858.6+118993.04+204241.55+489342.79+1533437.7+260.2+69483.52+3212.96+899.18+32432.94+79846.8</f>
        <v>3046106.12</v>
      </c>
      <c r="X42" s="41">
        <f t="shared" si="23"/>
        <v>0</v>
      </c>
      <c r="Y42" s="40">
        <f>2871.49+5917.91+268465.15+44201.3+7857.08+54783.91+129858.6+118993.04+203213.92+1027.63+24.7+497361.94-8043.85+1533437.7+260.2+69483.52+3212.96+899.18+32432.94+79846.8</f>
        <v>3046106.12</v>
      </c>
      <c r="Z42" s="41">
        <f t="shared" si="24"/>
        <v>0</v>
      </c>
      <c r="AA42" s="42">
        <f>Y42-U42</f>
        <v>-1453893.88</v>
      </c>
      <c r="AB42" s="258"/>
      <c r="AC42" s="258" t="e">
        <f>AA42-#REF!</f>
        <v>#REF!</v>
      </c>
      <c r="AE42" s="103">
        <f>AE41+AE40</f>
        <v>-98646.290000000256</v>
      </c>
    </row>
    <row r="43" spans="1:31" ht="16.5" thickBot="1" x14ac:dyDescent="0.3">
      <c r="E43" s="286">
        <f>E42+1</f>
        <v>22</v>
      </c>
      <c r="F43" s="48" t="s">
        <v>54</v>
      </c>
      <c r="G43" s="44">
        <v>2800</v>
      </c>
      <c r="H43" s="37">
        <f t="shared" si="1"/>
        <v>20000</v>
      </c>
      <c r="I43" s="205"/>
      <c r="J43" s="205"/>
      <c r="K43" s="205"/>
      <c r="L43" s="205"/>
      <c r="M43" s="205"/>
      <c r="N43" s="205">
        <v>20000</v>
      </c>
      <c r="O43" s="205"/>
      <c r="P43" s="205"/>
      <c r="Q43" s="205"/>
      <c r="R43" s="205"/>
      <c r="S43" s="205"/>
      <c r="T43" s="205"/>
      <c r="U43" s="39">
        <f t="shared" si="2"/>
        <v>20000</v>
      </c>
      <c r="V43" s="40"/>
      <c r="W43" s="40"/>
      <c r="X43" s="41">
        <f t="shared" si="23"/>
        <v>0</v>
      </c>
      <c r="Y43" s="40"/>
      <c r="Z43" s="41">
        <f t="shared" si="24"/>
        <v>0</v>
      </c>
      <c r="AA43" s="42">
        <f t="shared" ref="AA43:AA45" si="26">Y43-U43</f>
        <v>-20000</v>
      </c>
      <c r="AB43" s="258"/>
      <c r="AC43" s="258">
        <v>20000</v>
      </c>
    </row>
    <row r="44" spans="1:31" ht="16.5" thickBot="1" x14ac:dyDescent="0.3">
      <c r="E44" s="286">
        <f t="shared" ref="E44:E45" si="27">E43+1</f>
        <v>23</v>
      </c>
      <c r="F44" s="48" t="s">
        <v>55</v>
      </c>
      <c r="G44" s="44">
        <v>2800</v>
      </c>
      <c r="H44" s="37">
        <f t="shared" si="1"/>
        <v>12376</v>
      </c>
      <c r="I44" s="205"/>
      <c r="J44" s="205">
        <f>200000-187624-8454</f>
        <v>3922</v>
      </c>
      <c r="K44" s="205"/>
      <c r="L44" s="205"/>
      <c r="M44" s="205"/>
      <c r="N44" s="205"/>
      <c r="O44" s="205"/>
      <c r="P44" s="205"/>
      <c r="Q44" s="205"/>
      <c r="R44" s="205"/>
      <c r="S44" s="205">
        <f>8454</f>
        <v>8454</v>
      </c>
      <c r="T44" s="205"/>
      <c r="U44" s="39">
        <f t="shared" si="2"/>
        <v>3922</v>
      </c>
      <c r="V44" s="40">
        <f t="shared" ref="V44:W44" si="28">3921.26</f>
        <v>3921.26</v>
      </c>
      <c r="W44" s="40">
        <f t="shared" si="28"/>
        <v>3921.26</v>
      </c>
      <c r="X44" s="41">
        <f t="shared" si="23"/>
        <v>0</v>
      </c>
      <c r="Y44" s="40">
        <f>3921.26</f>
        <v>3921.26</v>
      </c>
      <c r="Z44" s="41">
        <f t="shared" si="24"/>
        <v>0</v>
      </c>
      <c r="AA44" s="42">
        <f t="shared" si="26"/>
        <v>-0.73999999999978172</v>
      </c>
      <c r="AB44" s="258"/>
      <c r="AC44" s="258"/>
    </row>
    <row r="45" spans="1:31" ht="26.25" thickBot="1" x14ac:dyDescent="0.3">
      <c r="E45" s="286">
        <f t="shared" si="27"/>
        <v>24</v>
      </c>
      <c r="F45" s="45" t="s">
        <v>56</v>
      </c>
      <c r="G45" s="44">
        <v>2800</v>
      </c>
      <c r="H45" s="37">
        <f t="shared" si="1"/>
        <v>90000</v>
      </c>
      <c r="I45" s="205">
        <v>20000</v>
      </c>
      <c r="J45" s="205">
        <f>20000+8454</f>
        <v>28454</v>
      </c>
      <c r="K45" s="205">
        <v>30000</v>
      </c>
      <c r="L45" s="205"/>
      <c r="M45" s="205">
        <f>20000-8454</f>
        <v>11546</v>
      </c>
      <c r="N45" s="205"/>
      <c r="O45" s="205"/>
      <c r="P45" s="205"/>
      <c r="Q45" s="205"/>
      <c r="R45" s="205"/>
      <c r="S45" s="205"/>
      <c r="T45" s="205"/>
      <c r="U45" s="39">
        <f t="shared" si="2"/>
        <v>90000</v>
      </c>
      <c r="V45" s="40">
        <f>11412.6+11412.6+11412.6+11412.6</f>
        <v>45650.400000000001</v>
      </c>
      <c r="W45" s="40">
        <f>11412.6+11412.6+11412.6+11412.6</f>
        <v>45650.400000000001</v>
      </c>
      <c r="X45" s="41">
        <f t="shared" si="23"/>
        <v>0</v>
      </c>
      <c r="Y45" s="40">
        <f>11412.6+11412.6+11412.6*2</f>
        <v>45650.400000000001</v>
      </c>
      <c r="Z45" s="41">
        <f t="shared" si="24"/>
        <v>0</v>
      </c>
      <c r="AA45" s="42">
        <f t="shared" si="26"/>
        <v>-44349.599999999999</v>
      </c>
      <c r="AB45" s="258"/>
      <c r="AC45" s="258">
        <v>44349</v>
      </c>
      <c r="AD45">
        <f>722627.2+507520.19+222113.71+773711.6</f>
        <v>2225972.6999999997</v>
      </c>
      <c r="AE45" s="103"/>
    </row>
    <row r="46" spans="1:31" ht="16.5" thickBot="1" x14ac:dyDescent="0.3">
      <c r="E46" s="44"/>
      <c r="F46" s="49" t="s">
        <v>57</v>
      </c>
      <c r="G46" s="44"/>
      <c r="H46" s="38">
        <f t="shared" ref="H46:X46" si="29">SUM(H6:H21)</f>
        <v>9037003</v>
      </c>
      <c r="I46" s="38">
        <f>SUM(I6:I21)+I29</f>
        <v>209000</v>
      </c>
      <c r="J46" s="38">
        <f t="shared" ref="J46:T46" si="30">SUM(J6:J21)+J29</f>
        <v>291624</v>
      </c>
      <c r="K46" s="38">
        <f t="shared" si="30"/>
        <v>141702</v>
      </c>
      <c r="L46" s="38">
        <f t="shared" si="30"/>
        <v>36752</v>
      </c>
      <c r="M46" s="38">
        <f t="shared" si="30"/>
        <v>864146</v>
      </c>
      <c r="N46" s="38">
        <f t="shared" si="30"/>
        <v>1659750</v>
      </c>
      <c r="O46" s="38">
        <f t="shared" si="30"/>
        <v>664150</v>
      </c>
      <c r="P46" s="38">
        <f t="shared" si="30"/>
        <v>329150</v>
      </c>
      <c r="Q46" s="38">
        <f t="shared" si="30"/>
        <v>273400</v>
      </c>
      <c r="R46" s="38">
        <f t="shared" si="30"/>
        <v>1615271</v>
      </c>
      <c r="S46" s="38">
        <f t="shared" si="30"/>
        <v>1623679</v>
      </c>
      <c r="T46" s="38">
        <f t="shared" si="30"/>
        <v>1334000</v>
      </c>
      <c r="U46" s="38">
        <f t="shared" si="29"/>
        <v>3861503</v>
      </c>
      <c r="V46" s="38">
        <f t="shared" si="29"/>
        <v>1000554.39</v>
      </c>
      <c r="W46" s="38">
        <f t="shared" si="29"/>
        <v>1000554.39</v>
      </c>
      <c r="X46" s="38">
        <f t="shared" si="29"/>
        <v>0</v>
      </c>
      <c r="Y46" s="38">
        <f>SUM(Y6:Y21)</f>
        <v>1777614.7199999997</v>
      </c>
      <c r="Z46" s="38">
        <f>SUM(Z6:Z21)</f>
        <v>777060.33</v>
      </c>
      <c r="AA46" s="38">
        <f>SUM(AA6:AA21)</f>
        <v>-2083888.28</v>
      </c>
      <c r="AB46" s="259"/>
      <c r="AC46" s="259">
        <f>AC45+AC43+AC9+AC7+AC6</f>
        <v>-135005.98000000004</v>
      </c>
      <c r="AD46" s="103">
        <f>AA46-AC22</f>
        <v>-633838.92000000016</v>
      </c>
    </row>
    <row r="47" spans="1:31" ht="16.5" thickBot="1" x14ac:dyDescent="0.3">
      <c r="E47" s="44"/>
      <c r="F47" s="49" t="s">
        <v>58</v>
      </c>
      <c r="G47" s="44"/>
      <c r="H47" s="38">
        <f t="shared" ref="H47:U47" si="31">H42</f>
        <v>9000000</v>
      </c>
      <c r="I47" s="38">
        <f t="shared" si="31"/>
        <v>700000</v>
      </c>
      <c r="J47" s="38">
        <f t="shared" si="31"/>
        <v>800000</v>
      </c>
      <c r="K47" s="38">
        <f t="shared" si="31"/>
        <v>1100000</v>
      </c>
      <c r="L47" s="38">
        <f t="shared" si="31"/>
        <v>700000</v>
      </c>
      <c r="M47" s="38">
        <f t="shared" si="31"/>
        <v>200000</v>
      </c>
      <c r="N47" s="38">
        <f t="shared" si="31"/>
        <v>0</v>
      </c>
      <c r="O47" s="38">
        <f t="shared" si="31"/>
        <v>1000000</v>
      </c>
      <c r="P47" s="38">
        <f t="shared" si="31"/>
        <v>700000</v>
      </c>
      <c r="Q47" s="38">
        <f t="shared" si="31"/>
        <v>600000</v>
      </c>
      <c r="R47" s="38">
        <f t="shared" si="31"/>
        <v>800000</v>
      </c>
      <c r="S47" s="38">
        <f t="shared" si="31"/>
        <v>1400000</v>
      </c>
      <c r="T47" s="223">
        <f t="shared" si="31"/>
        <v>1000000</v>
      </c>
      <c r="U47" s="38">
        <f t="shared" si="31"/>
        <v>4500000</v>
      </c>
      <c r="V47" s="38">
        <f>V42</f>
        <v>3046106.12</v>
      </c>
      <c r="W47" s="38">
        <f t="shared" ref="W47:AA47" si="32">W42</f>
        <v>3046106.12</v>
      </c>
      <c r="X47" s="38">
        <f t="shared" si="32"/>
        <v>0</v>
      </c>
      <c r="Y47" s="38">
        <f t="shared" si="32"/>
        <v>3046106.12</v>
      </c>
      <c r="Z47" s="38">
        <f t="shared" si="32"/>
        <v>0</v>
      </c>
      <c r="AA47" s="38">
        <f t="shared" si="32"/>
        <v>-1453893.88</v>
      </c>
      <c r="AB47" s="259"/>
      <c r="AC47" s="259"/>
      <c r="AD47" s="103"/>
    </row>
    <row r="48" spans="1:31" ht="16.5" thickBot="1" x14ac:dyDescent="0.3">
      <c r="E48" s="44"/>
      <c r="F48" s="49" t="s">
        <v>59</v>
      </c>
      <c r="G48" s="44"/>
      <c r="H48" s="38">
        <f t="shared" ref="H48:U48" si="33">H39+H34+H30</f>
        <v>54200000</v>
      </c>
      <c r="I48" s="38">
        <f t="shared" si="33"/>
        <v>3510000</v>
      </c>
      <c r="J48" s="38">
        <f t="shared" si="33"/>
        <v>3210600</v>
      </c>
      <c r="K48" s="38">
        <f t="shared" si="33"/>
        <v>3717898</v>
      </c>
      <c r="L48" s="38">
        <f t="shared" si="33"/>
        <v>6741848</v>
      </c>
      <c r="M48" s="38">
        <f t="shared" si="33"/>
        <v>8392058</v>
      </c>
      <c r="N48" s="38">
        <f t="shared" si="33"/>
        <v>8866600</v>
      </c>
      <c r="O48" s="38">
        <f t="shared" si="33"/>
        <v>5386600</v>
      </c>
      <c r="P48" s="38">
        <f t="shared" si="33"/>
        <v>2881600</v>
      </c>
      <c r="Q48" s="38">
        <f t="shared" si="33"/>
        <v>4206600</v>
      </c>
      <c r="R48" s="38">
        <f t="shared" si="33"/>
        <v>2303729</v>
      </c>
      <c r="S48" s="38">
        <f t="shared" si="33"/>
        <v>2622467</v>
      </c>
      <c r="T48" s="223">
        <f t="shared" si="33"/>
        <v>2360000</v>
      </c>
      <c r="U48" s="38">
        <f t="shared" si="33"/>
        <v>39825604</v>
      </c>
      <c r="V48" s="38">
        <f>V39+V34+V30</f>
        <v>30858266.309999999</v>
      </c>
      <c r="W48" s="38">
        <f t="shared" ref="W48:AA48" si="34">W39+W34+W30</f>
        <v>30047138.719999995</v>
      </c>
      <c r="X48" s="38">
        <f t="shared" si="34"/>
        <v>-811127.59000000078</v>
      </c>
      <c r="Y48" s="38">
        <f t="shared" si="34"/>
        <v>31051285.549999997</v>
      </c>
      <c r="Z48" s="38">
        <f t="shared" si="34"/>
        <v>193019.24000000022</v>
      </c>
      <c r="AA48" s="38">
        <f t="shared" si="34"/>
        <v>-8774318.4499999993</v>
      </c>
      <c r="AB48" s="259"/>
      <c r="AC48" s="259"/>
      <c r="AD48">
        <v>2225872.7000000002</v>
      </c>
    </row>
    <row r="49" spans="1:31" ht="16.5" thickBot="1" x14ac:dyDescent="0.3">
      <c r="E49" s="44"/>
      <c r="F49" s="49" t="s">
        <v>60</v>
      </c>
      <c r="G49" s="44"/>
      <c r="H49" s="38">
        <f>H43+H44+H45</f>
        <v>122376</v>
      </c>
      <c r="I49" s="38">
        <f t="shared" ref="I49:U49" si="35">I43+I44+I45</f>
        <v>20000</v>
      </c>
      <c r="J49" s="38">
        <f t="shared" si="35"/>
        <v>32376</v>
      </c>
      <c r="K49" s="38">
        <f t="shared" si="35"/>
        <v>30000</v>
      </c>
      <c r="L49" s="38">
        <f t="shared" si="35"/>
        <v>0</v>
      </c>
      <c r="M49" s="38">
        <f t="shared" si="35"/>
        <v>11546</v>
      </c>
      <c r="N49" s="38">
        <f t="shared" si="35"/>
        <v>20000</v>
      </c>
      <c r="O49" s="38">
        <f t="shared" si="35"/>
        <v>0</v>
      </c>
      <c r="P49" s="38">
        <f t="shared" si="35"/>
        <v>0</v>
      </c>
      <c r="Q49" s="38">
        <f t="shared" si="35"/>
        <v>0</v>
      </c>
      <c r="R49" s="38">
        <f t="shared" si="35"/>
        <v>0</v>
      </c>
      <c r="S49" s="38">
        <f t="shared" si="35"/>
        <v>8454</v>
      </c>
      <c r="T49" s="223">
        <f t="shared" si="35"/>
        <v>0</v>
      </c>
      <c r="U49" s="38">
        <f t="shared" si="35"/>
        <v>113922</v>
      </c>
      <c r="V49" s="38">
        <f>V43+V44+V45</f>
        <v>49571.66</v>
      </c>
      <c r="W49" s="38">
        <f t="shared" ref="W49:AA49" si="36">W43+W44+W45</f>
        <v>49571.66</v>
      </c>
      <c r="X49" s="38">
        <f t="shared" si="36"/>
        <v>0</v>
      </c>
      <c r="Y49" s="38">
        <f t="shared" si="36"/>
        <v>49571.66</v>
      </c>
      <c r="Z49" s="38">
        <f t="shared" si="36"/>
        <v>0</v>
      </c>
      <c r="AA49" s="38">
        <f t="shared" si="36"/>
        <v>-64350.34</v>
      </c>
      <c r="AB49" s="203"/>
      <c r="AC49" s="203"/>
      <c r="AD49" s="203">
        <f>AD48-Z48</f>
        <v>2032853.46</v>
      </c>
    </row>
    <row r="50" spans="1:31" ht="15.75" thickBot="1" x14ac:dyDescent="0.3">
      <c r="E50" s="47"/>
      <c r="F50" s="79" t="s">
        <v>203</v>
      </c>
      <c r="G50" s="79"/>
      <c r="H50" s="79">
        <f>SUM(I50:T50)</f>
        <v>72365000</v>
      </c>
      <c r="I50" s="79">
        <f>SUM(I46:I49)</f>
        <v>4439000</v>
      </c>
      <c r="J50" s="79">
        <f t="shared" ref="J50:AA50" si="37">SUM(J46:J49)</f>
        <v>4334600</v>
      </c>
      <c r="K50" s="79">
        <f t="shared" si="37"/>
        <v>4989600</v>
      </c>
      <c r="L50" s="79">
        <f t="shared" si="37"/>
        <v>7478600</v>
      </c>
      <c r="M50" s="79">
        <f t="shared" si="37"/>
        <v>9467750</v>
      </c>
      <c r="N50" s="79">
        <f t="shared" si="37"/>
        <v>10546350</v>
      </c>
      <c r="O50" s="79">
        <f t="shared" si="37"/>
        <v>7050750</v>
      </c>
      <c r="P50" s="79">
        <f t="shared" si="37"/>
        <v>3910750</v>
      </c>
      <c r="Q50" s="79">
        <f t="shared" si="37"/>
        <v>5080000</v>
      </c>
      <c r="R50" s="79">
        <f t="shared" si="37"/>
        <v>4719000</v>
      </c>
      <c r="S50" s="79">
        <f t="shared" si="37"/>
        <v>5654600</v>
      </c>
      <c r="T50" s="224">
        <f t="shared" si="37"/>
        <v>4694000</v>
      </c>
      <c r="U50" s="89">
        <f>SUM(U46:U49)</f>
        <v>48301029</v>
      </c>
      <c r="V50" s="79">
        <f t="shared" si="37"/>
        <v>34954498.479999997</v>
      </c>
      <c r="W50" s="79">
        <f t="shared" si="37"/>
        <v>34143370.889999993</v>
      </c>
      <c r="X50" s="79">
        <f t="shared" si="37"/>
        <v>-811127.59000000078</v>
      </c>
      <c r="Y50" s="79">
        <f t="shared" si="37"/>
        <v>35924578.049999997</v>
      </c>
      <c r="Z50" s="79">
        <f t="shared" si="37"/>
        <v>970079.57000000018</v>
      </c>
      <c r="AA50" s="79">
        <f t="shared" si="37"/>
        <v>-12376450.949999999</v>
      </c>
      <c r="AB50" s="260"/>
      <c r="AC50" s="260">
        <f>412028.71+3870.55</f>
        <v>415899.26</v>
      </c>
      <c r="AD50" s="260">
        <f>X50</f>
        <v>-811127.59000000078</v>
      </c>
      <c r="AE50">
        <v>72365000</v>
      </c>
    </row>
    <row r="51" spans="1:31" ht="25.5" customHeight="1" thickBot="1" x14ac:dyDescent="0.3">
      <c r="E51" s="491" t="s">
        <v>61</v>
      </c>
      <c r="F51" s="492"/>
      <c r="G51" s="493"/>
      <c r="H51" s="37">
        <f t="shared" si="1"/>
        <v>150000</v>
      </c>
      <c r="I51" s="51">
        <f t="shared" ref="I51:AA51" si="38">I23</f>
        <v>0</v>
      </c>
      <c r="J51" s="51">
        <f t="shared" si="38"/>
        <v>0</v>
      </c>
      <c r="K51" s="51">
        <f t="shared" si="38"/>
        <v>0</v>
      </c>
      <c r="L51" s="51">
        <f t="shared" si="38"/>
        <v>0</v>
      </c>
      <c r="M51" s="51">
        <f t="shared" si="38"/>
        <v>150000</v>
      </c>
      <c r="N51" s="51">
        <f t="shared" si="38"/>
        <v>0</v>
      </c>
      <c r="O51" s="51">
        <f t="shared" si="38"/>
        <v>0</v>
      </c>
      <c r="P51" s="51">
        <f t="shared" si="38"/>
        <v>0</v>
      </c>
      <c r="Q51" s="51">
        <f t="shared" si="38"/>
        <v>0</v>
      </c>
      <c r="R51" s="51">
        <f t="shared" si="38"/>
        <v>0</v>
      </c>
      <c r="S51" s="51">
        <f t="shared" si="38"/>
        <v>0</v>
      </c>
      <c r="T51" s="225">
        <f t="shared" si="38"/>
        <v>0</v>
      </c>
      <c r="U51" s="51">
        <f t="shared" si="38"/>
        <v>150000</v>
      </c>
      <c r="V51" s="51">
        <f t="shared" si="38"/>
        <v>0</v>
      </c>
      <c r="W51" s="51">
        <f t="shared" si="38"/>
        <v>0</v>
      </c>
      <c r="X51" s="51">
        <f t="shared" si="38"/>
        <v>0</v>
      </c>
      <c r="Y51" s="51">
        <f t="shared" si="38"/>
        <v>0</v>
      </c>
      <c r="Z51" s="51">
        <f t="shared" si="38"/>
        <v>0</v>
      </c>
      <c r="AA51" s="51">
        <f t="shared" si="38"/>
        <v>-150000</v>
      </c>
      <c r="AB51" s="261"/>
      <c r="AC51" s="261">
        <f>V50-AC50</f>
        <v>34538599.219999999</v>
      </c>
      <c r="AE51">
        <v>70010000</v>
      </c>
    </row>
    <row r="52" spans="1:31" ht="17.25" customHeight="1" thickBot="1" x14ac:dyDescent="0.3">
      <c r="E52" s="494" t="s">
        <v>409</v>
      </c>
      <c r="F52" s="495"/>
      <c r="G52" s="496"/>
      <c r="H52" s="280">
        <f>SUM(I52:T52)</f>
        <v>5000000</v>
      </c>
      <c r="I52" s="281"/>
      <c r="J52" s="281"/>
      <c r="K52" s="281"/>
      <c r="L52" s="281"/>
      <c r="M52" s="281"/>
      <c r="N52" s="281">
        <f>N15+N22+N24+N26+600000+400000+2500000+N13</f>
        <v>5000000</v>
      </c>
      <c r="O52" s="281"/>
      <c r="P52" s="281"/>
      <c r="Q52" s="281"/>
      <c r="R52" s="281"/>
      <c r="S52" s="281"/>
      <c r="T52" s="281"/>
      <c r="U52" s="278"/>
      <c r="V52" s="278"/>
      <c r="W52" s="278"/>
      <c r="X52" s="278"/>
      <c r="Y52" s="279"/>
      <c r="Z52" s="261"/>
      <c r="AA52" s="261"/>
      <c r="AB52" s="261"/>
      <c r="AC52" s="261"/>
      <c r="AE52">
        <f>AE50-AE51</f>
        <v>2355000</v>
      </c>
    </row>
    <row r="53" spans="1:31" ht="35.25" thickTop="1" thickBot="1" x14ac:dyDescent="0.3">
      <c r="A53" s="3" t="s">
        <v>0</v>
      </c>
      <c r="B53" s="3" t="s">
        <v>1</v>
      </c>
      <c r="C53" s="3" t="s">
        <v>2</v>
      </c>
      <c r="D53" s="4" t="s">
        <v>3</v>
      </c>
      <c r="E53" s="4" t="s">
        <v>4</v>
      </c>
      <c r="F53" s="5" t="s">
        <v>5</v>
      </c>
      <c r="G53" s="6" t="s">
        <v>6</v>
      </c>
      <c r="H53" s="7" t="s">
        <v>155</v>
      </c>
      <c r="I53" s="8" t="s">
        <v>7</v>
      </c>
      <c r="J53" s="9" t="s">
        <v>8</v>
      </c>
      <c r="K53" s="9" t="s">
        <v>9</v>
      </c>
      <c r="L53" s="8" t="s">
        <v>10</v>
      </c>
      <c r="M53" s="8" t="s">
        <v>11</v>
      </c>
      <c r="N53" s="10" t="s">
        <v>12</v>
      </c>
      <c r="O53" s="11" t="s">
        <v>13</v>
      </c>
      <c r="P53" s="12" t="s">
        <v>14</v>
      </c>
      <c r="Q53" s="12" t="s">
        <v>15</v>
      </c>
      <c r="R53" s="13" t="s">
        <v>16</v>
      </c>
      <c r="S53" s="8" t="s">
        <v>17</v>
      </c>
      <c r="T53" s="221" t="s">
        <v>18</v>
      </c>
      <c r="U53" s="7" t="s">
        <v>426</v>
      </c>
      <c r="V53" s="7" t="s">
        <v>19</v>
      </c>
      <c r="W53" s="7" t="s">
        <v>20</v>
      </c>
      <c r="X53" s="7" t="s">
        <v>21</v>
      </c>
      <c r="Y53" s="5" t="s">
        <v>22</v>
      </c>
      <c r="Z53" s="14" t="s">
        <v>23</v>
      </c>
      <c r="AA53" s="14" t="s">
        <v>24</v>
      </c>
      <c r="AB53" s="255"/>
      <c r="AC53" s="255"/>
    </row>
    <row r="54" spans="1:31" ht="12.75" customHeight="1" thickTop="1" thickBot="1" x14ac:dyDescent="0.3">
      <c r="A54" s="1"/>
      <c r="B54" s="1"/>
      <c r="C54" s="1"/>
      <c r="D54" s="2"/>
      <c r="E54" s="15"/>
      <c r="F54" s="16">
        <v>1</v>
      </c>
      <c r="G54" s="17">
        <v>2</v>
      </c>
      <c r="H54" s="18">
        <v>3</v>
      </c>
      <c r="I54" s="19"/>
      <c r="J54" s="20"/>
      <c r="K54" s="21"/>
      <c r="L54" s="22"/>
      <c r="M54" s="22"/>
      <c r="N54" s="23"/>
      <c r="O54" s="24"/>
      <c r="P54" s="25"/>
      <c r="Q54" s="25"/>
      <c r="R54" s="26"/>
      <c r="S54" s="22"/>
      <c r="T54" s="222"/>
      <c r="U54" s="22">
        <v>4</v>
      </c>
      <c r="V54" s="27">
        <v>5</v>
      </c>
      <c r="W54" s="28">
        <v>6</v>
      </c>
      <c r="X54" s="29">
        <v>7</v>
      </c>
      <c r="Y54" s="30">
        <v>8</v>
      </c>
      <c r="Z54" s="31">
        <v>9</v>
      </c>
      <c r="AA54" s="32">
        <v>10</v>
      </c>
      <c r="AB54" s="256"/>
      <c r="AC54" s="256"/>
    </row>
    <row r="55" spans="1:31" ht="16.5" thickTop="1" x14ac:dyDescent="0.25">
      <c r="A55" s="1"/>
      <c r="B55" s="1"/>
      <c r="C55" s="1"/>
      <c r="D55" s="2"/>
      <c r="E55" s="497" t="s">
        <v>63</v>
      </c>
      <c r="F55" s="498"/>
      <c r="G55" s="498"/>
      <c r="H55" s="498"/>
      <c r="I55" s="498"/>
      <c r="J55" s="498"/>
      <c r="K55" s="498"/>
      <c r="L55" s="498"/>
      <c r="M55" s="498"/>
      <c r="N55" s="498"/>
      <c r="O55" s="498"/>
      <c r="P55" s="498"/>
      <c r="Q55" s="498"/>
      <c r="R55" s="498"/>
      <c r="S55" s="498"/>
      <c r="T55" s="498"/>
      <c r="U55" s="498"/>
      <c r="V55" s="498"/>
      <c r="W55" s="498"/>
      <c r="X55" s="498"/>
      <c r="Y55" s="498"/>
      <c r="Z55" s="498"/>
      <c r="AA55" s="499"/>
      <c r="AB55" s="262"/>
      <c r="AC55" s="262"/>
    </row>
    <row r="56" spans="1:31" ht="15.75" thickBot="1" x14ac:dyDescent="0.3">
      <c r="A56" s="1"/>
      <c r="B56" s="1"/>
      <c r="C56" s="1"/>
      <c r="D56" s="2"/>
      <c r="E56" s="53"/>
      <c r="F56" s="53" t="s">
        <v>64</v>
      </c>
      <c r="G56" s="53"/>
      <c r="H56" s="53">
        <f t="shared" ref="H56" si="39">SUM(H57:H77)</f>
        <v>7216387</v>
      </c>
      <c r="I56" s="53">
        <f>SUM(I57:I77)</f>
        <v>80000</v>
      </c>
      <c r="J56" s="53">
        <f t="shared" ref="J56:T56" si="40">SUM(J57:J77)</f>
        <v>3230000</v>
      </c>
      <c r="K56" s="53">
        <f t="shared" si="40"/>
        <v>895000</v>
      </c>
      <c r="L56" s="53">
        <f t="shared" si="40"/>
        <v>50000</v>
      </c>
      <c r="M56" s="53">
        <f t="shared" si="40"/>
        <v>50000</v>
      </c>
      <c r="N56" s="53">
        <f t="shared" si="40"/>
        <v>100000</v>
      </c>
      <c r="O56" s="53">
        <f t="shared" si="40"/>
        <v>1051387</v>
      </c>
      <c r="P56" s="53">
        <f t="shared" si="40"/>
        <v>0</v>
      </c>
      <c r="Q56" s="53">
        <f t="shared" si="40"/>
        <v>0</v>
      </c>
      <c r="R56" s="53">
        <f t="shared" si="40"/>
        <v>235000</v>
      </c>
      <c r="S56" s="53">
        <f t="shared" si="40"/>
        <v>0</v>
      </c>
      <c r="T56" s="226">
        <f t="shared" si="40"/>
        <v>1525000</v>
      </c>
      <c r="U56" s="53">
        <f>SUM(U57:U77)</f>
        <v>5456387</v>
      </c>
      <c r="V56" s="53">
        <f t="shared" ref="V56:Y56" si="41">SUM(V57:V77)</f>
        <v>44348.86</v>
      </c>
      <c r="W56" s="53">
        <f t="shared" si="41"/>
        <v>44348.86</v>
      </c>
      <c r="X56" s="53">
        <f t="shared" si="41"/>
        <v>0</v>
      </c>
      <c r="Y56" s="53">
        <f t="shared" si="41"/>
        <v>2817551.8099999996</v>
      </c>
      <c r="Z56" s="53">
        <f>SUM(Z57:Z77)</f>
        <v>2773202.9499999997</v>
      </c>
      <c r="AA56" s="53">
        <f>SUM(AA57:AA77)</f>
        <v>-2638835.19</v>
      </c>
      <c r="AB56" s="263"/>
      <c r="AC56" s="263"/>
    </row>
    <row r="57" spans="1:31" ht="36.75" thickBot="1" x14ac:dyDescent="0.3">
      <c r="A57" t="s">
        <v>350</v>
      </c>
      <c r="B57" t="s">
        <v>347</v>
      </c>
      <c r="D57" t="s">
        <v>251</v>
      </c>
      <c r="E57" s="54">
        <v>1</v>
      </c>
      <c r="F57" s="55" t="s">
        <v>65</v>
      </c>
      <c r="G57" s="56">
        <v>3132</v>
      </c>
      <c r="H57" s="57">
        <f t="shared" ref="H57:H75" si="42">SUM(I57:T57)</f>
        <v>100000</v>
      </c>
      <c r="I57" s="208">
        <v>20000</v>
      </c>
      <c r="J57" s="208"/>
      <c r="K57" s="208">
        <v>30000</v>
      </c>
      <c r="L57" s="208"/>
      <c r="M57" s="208"/>
      <c r="N57" s="208">
        <v>50000</v>
      </c>
      <c r="O57" s="208"/>
      <c r="P57" s="208"/>
      <c r="Q57" s="208"/>
      <c r="R57" s="208"/>
      <c r="S57" s="208"/>
      <c r="T57" s="227"/>
      <c r="U57" s="39">
        <f>I57+J57+K57+L57+M57+N57+O57</f>
        <v>100000</v>
      </c>
      <c r="V57" s="40"/>
      <c r="W57" s="40"/>
      <c r="X57" s="41">
        <f>W57-V57</f>
        <v>0</v>
      </c>
      <c r="Y57" s="40">
        <f>15430.73</f>
        <v>15430.73</v>
      </c>
      <c r="Z57" s="41">
        <f>Y57-V57</f>
        <v>15430.73</v>
      </c>
      <c r="AA57" s="42">
        <f>Y57-U57</f>
        <v>-84569.27</v>
      </c>
      <c r="AB57" s="258"/>
      <c r="AC57" s="258"/>
    </row>
    <row r="58" spans="1:31" ht="24.75" thickBot="1" x14ac:dyDescent="0.3">
      <c r="E58" s="54">
        <v>2</v>
      </c>
      <c r="F58" s="55" t="s">
        <v>66</v>
      </c>
      <c r="G58" s="56">
        <v>3132</v>
      </c>
      <c r="H58" s="57">
        <f t="shared" si="42"/>
        <v>100000</v>
      </c>
      <c r="I58" s="208">
        <v>20000</v>
      </c>
      <c r="J58" s="208"/>
      <c r="K58" s="208">
        <v>30000</v>
      </c>
      <c r="L58" s="208"/>
      <c r="M58" s="208"/>
      <c r="N58" s="208">
        <v>50000</v>
      </c>
      <c r="O58" s="208"/>
      <c r="P58" s="208"/>
      <c r="Q58" s="208"/>
      <c r="R58" s="208"/>
      <c r="S58" s="208"/>
      <c r="T58" s="227"/>
      <c r="U58" s="39">
        <f t="shared" ref="U58:U121" si="43">I58+J58+K58+L58+M58+N58+O58</f>
        <v>100000</v>
      </c>
      <c r="V58" s="40"/>
      <c r="W58" s="40"/>
      <c r="X58" s="41">
        <f>W58-V58</f>
        <v>0</v>
      </c>
      <c r="Y58" s="40"/>
      <c r="Z58" s="41">
        <f>Y58-V58</f>
        <v>0</v>
      </c>
      <c r="AA58" s="42">
        <f>Y58-U58</f>
        <v>-100000</v>
      </c>
      <c r="AB58" s="258"/>
      <c r="AC58" s="258"/>
    </row>
    <row r="59" spans="1:31" ht="36.75" thickBot="1" x14ac:dyDescent="0.3">
      <c r="E59" s="54">
        <v>3</v>
      </c>
      <c r="F59" s="55" t="s">
        <v>67</v>
      </c>
      <c r="G59" s="56">
        <v>3132</v>
      </c>
      <c r="H59" s="57">
        <f t="shared" si="42"/>
        <v>100000</v>
      </c>
      <c r="I59" s="208"/>
      <c r="J59" s="208"/>
      <c r="K59" s="208">
        <v>100000</v>
      </c>
      <c r="L59" s="208"/>
      <c r="M59" s="208"/>
      <c r="N59" s="208"/>
      <c r="O59" s="208"/>
      <c r="P59" s="208"/>
      <c r="Q59" s="208"/>
      <c r="R59" s="208"/>
      <c r="S59" s="208"/>
      <c r="T59" s="227"/>
      <c r="U59" s="39">
        <f t="shared" si="43"/>
        <v>100000</v>
      </c>
      <c r="V59" s="64"/>
      <c r="W59" s="64"/>
      <c r="X59" s="41">
        <f t="shared" ref="X59:X77" si="44">W59-V59</f>
        <v>0</v>
      </c>
      <c r="Y59" s="125"/>
      <c r="Z59" s="41">
        <f t="shared" ref="Z59:Z77" si="45">Y59-V59</f>
        <v>0</v>
      </c>
      <c r="AA59" s="42">
        <f t="shared" ref="AA59:AA77" si="46">Y59-U59</f>
        <v>-100000</v>
      </c>
      <c r="AB59" s="258"/>
      <c r="AC59" s="258"/>
    </row>
    <row r="60" spans="1:31" ht="48.75" thickBot="1" x14ac:dyDescent="0.3">
      <c r="E60" s="54">
        <v>4</v>
      </c>
      <c r="F60" s="179" t="s">
        <v>68</v>
      </c>
      <c r="G60" s="180">
        <v>3132</v>
      </c>
      <c r="H60" s="181">
        <f t="shared" si="42"/>
        <v>100000</v>
      </c>
      <c r="I60" s="208"/>
      <c r="J60" s="208"/>
      <c r="K60" s="208">
        <v>100000</v>
      </c>
      <c r="L60" s="208"/>
      <c r="M60" s="208"/>
      <c r="N60" s="208"/>
      <c r="O60" s="208"/>
      <c r="P60" s="208"/>
      <c r="Q60" s="208"/>
      <c r="R60" s="208"/>
      <c r="S60" s="208"/>
      <c r="T60" s="227"/>
      <c r="U60" s="39">
        <f t="shared" si="43"/>
        <v>100000</v>
      </c>
      <c r="V60" s="64"/>
      <c r="W60" s="64"/>
      <c r="X60" s="41">
        <f t="shared" si="44"/>
        <v>0</v>
      </c>
      <c r="Y60" s="125"/>
      <c r="Z60" s="41">
        <f t="shared" si="45"/>
        <v>0</v>
      </c>
      <c r="AA60" s="42">
        <f t="shared" si="46"/>
        <v>-100000</v>
      </c>
      <c r="AB60" s="258"/>
      <c r="AC60" s="258"/>
    </row>
    <row r="61" spans="1:31" ht="36.75" thickBot="1" x14ac:dyDescent="0.3">
      <c r="E61" s="54">
        <v>5</v>
      </c>
      <c r="F61" s="179" t="s">
        <v>69</v>
      </c>
      <c r="G61" s="180">
        <v>3132</v>
      </c>
      <c r="H61" s="181">
        <f t="shared" si="42"/>
        <v>676387</v>
      </c>
      <c r="I61" s="208"/>
      <c r="J61" s="208"/>
      <c r="K61" s="208">
        <v>100000</v>
      </c>
      <c r="L61" s="208"/>
      <c r="M61" s="208"/>
      <c r="N61" s="208"/>
      <c r="O61" s="208">
        <f>900000-167613-156000</f>
        <v>576387</v>
      </c>
      <c r="P61" s="208"/>
      <c r="Q61" s="208"/>
      <c r="R61" s="208"/>
      <c r="S61" s="208"/>
      <c r="T61" s="227"/>
      <c r="U61" s="39">
        <f t="shared" si="43"/>
        <v>676387</v>
      </c>
      <c r="V61" s="64"/>
      <c r="W61" s="64"/>
      <c r="X61" s="41">
        <f t="shared" si="44"/>
        <v>0</v>
      </c>
      <c r="Y61" s="125"/>
      <c r="Z61" s="41">
        <f t="shared" si="45"/>
        <v>0</v>
      </c>
      <c r="AA61" s="42">
        <f t="shared" si="46"/>
        <v>-676387</v>
      </c>
      <c r="AB61" s="258"/>
      <c r="AC61" s="258"/>
    </row>
    <row r="62" spans="1:31" ht="36.75" thickBot="1" x14ac:dyDescent="0.3">
      <c r="A62" t="s">
        <v>212</v>
      </c>
      <c r="B62" s="102">
        <v>44587</v>
      </c>
      <c r="D62" t="s">
        <v>211</v>
      </c>
      <c r="E62" s="54">
        <v>6</v>
      </c>
      <c r="F62" s="179" t="s">
        <v>70</v>
      </c>
      <c r="G62" s="180">
        <v>3132</v>
      </c>
      <c r="H62" s="181">
        <f t="shared" si="42"/>
        <v>100000</v>
      </c>
      <c r="I62" s="208"/>
      <c r="J62" s="208"/>
      <c r="K62" s="208">
        <v>50000</v>
      </c>
      <c r="L62" s="208">
        <f>660000-610000</f>
        <v>50000</v>
      </c>
      <c r="M62" s="208">
        <f>1290000-1290000</f>
        <v>0</v>
      </c>
      <c r="N62" s="208"/>
      <c r="O62" s="208"/>
      <c r="P62" s="208"/>
      <c r="Q62" s="208"/>
      <c r="R62" s="208"/>
      <c r="S62" s="208"/>
      <c r="T62" s="227"/>
      <c r="U62" s="39">
        <f t="shared" si="43"/>
        <v>100000</v>
      </c>
      <c r="V62" s="64"/>
      <c r="W62" s="64"/>
      <c r="X62" s="41">
        <f t="shared" si="44"/>
        <v>0</v>
      </c>
      <c r="Y62" s="125"/>
      <c r="Z62" s="41">
        <f t="shared" si="45"/>
        <v>0</v>
      </c>
      <c r="AA62" s="42">
        <f t="shared" si="46"/>
        <v>-100000</v>
      </c>
      <c r="AB62" s="258"/>
      <c r="AC62" s="258"/>
    </row>
    <row r="63" spans="1:31" ht="36.75" thickBot="1" x14ac:dyDescent="0.3">
      <c r="A63" t="s">
        <v>352</v>
      </c>
      <c r="B63" t="s">
        <v>347</v>
      </c>
      <c r="D63" t="s">
        <v>351</v>
      </c>
      <c r="E63" s="54">
        <v>7</v>
      </c>
      <c r="F63" s="179" t="s">
        <v>71</v>
      </c>
      <c r="G63" s="180">
        <v>3132</v>
      </c>
      <c r="H63" s="181">
        <f t="shared" si="42"/>
        <v>100000</v>
      </c>
      <c r="I63" s="208">
        <v>20000</v>
      </c>
      <c r="J63" s="208"/>
      <c r="K63" s="208">
        <v>30000</v>
      </c>
      <c r="L63" s="208"/>
      <c r="M63" s="208"/>
      <c r="N63" s="208"/>
      <c r="O63" s="208">
        <f>625000-575000</f>
        <v>50000</v>
      </c>
      <c r="P63" s="208"/>
      <c r="Q63" s="208"/>
      <c r="R63" s="208"/>
      <c r="S63" s="208"/>
      <c r="T63" s="227"/>
      <c r="U63" s="39">
        <f t="shared" si="43"/>
        <v>100000</v>
      </c>
      <c r="V63" s="125"/>
      <c r="W63" s="125"/>
      <c r="X63" s="41">
        <f t="shared" si="44"/>
        <v>0</v>
      </c>
      <c r="Y63" s="125">
        <f>18801.79</f>
        <v>18801.79</v>
      </c>
      <c r="Z63" s="41">
        <f t="shared" si="45"/>
        <v>18801.79</v>
      </c>
      <c r="AA63" s="42">
        <f t="shared" si="46"/>
        <v>-81198.209999999992</v>
      </c>
      <c r="AB63" s="258"/>
      <c r="AC63" s="258"/>
    </row>
    <row r="64" spans="1:31" ht="36.75" thickBot="1" x14ac:dyDescent="0.3">
      <c r="D64" t="s">
        <v>211</v>
      </c>
      <c r="E64" s="54">
        <v>8</v>
      </c>
      <c r="F64" s="179" t="s">
        <v>72</v>
      </c>
      <c r="G64" s="180">
        <v>3132</v>
      </c>
      <c r="H64" s="181">
        <f t="shared" si="42"/>
        <v>100000</v>
      </c>
      <c r="I64" s="208">
        <v>20000</v>
      </c>
      <c r="J64" s="208"/>
      <c r="K64" s="208">
        <v>30000</v>
      </c>
      <c r="L64" s="208"/>
      <c r="M64" s="208">
        <f>150000-100000</f>
        <v>50000</v>
      </c>
      <c r="N64" s="208">
        <f>1080000-1080000</f>
        <v>0</v>
      </c>
      <c r="O64" s="208">
        <f>720000-720000</f>
        <v>0</v>
      </c>
      <c r="P64" s="208"/>
      <c r="Q64" s="208"/>
      <c r="R64" s="208"/>
      <c r="S64" s="208"/>
      <c r="T64" s="227"/>
      <c r="U64" s="39">
        <f t="shared" si="43"/>
        <v>100000</v>
      </c>
      <c r="V64" s="125"/>
      <c r="W64" s="125"/>
      <c r="X64" s="41">
        <f t="shared" si="44"/>
        <v>0</v>
      </c>
      <c r="Y64" s="125">
        <f>45235</f>
        <v>45235</v>
      </c>
      <c r="Z64" s="41">
        <f t="shared" si="45"/>
        <v>45235</v>
      </c>
      <c r="AA64" s="42">
        <f t="shared" si="46"/>
        <v>-54765</v>
      </c>
      <c r="AB64" s="258"/>
      <c r="AC64" s="258"/>
    </row>
    <row r="65" spans="1:29" ht="36.75" thickBot="1" x14ac:dyDescent="0.3">
      <c r="E65" s="54">
        <v>9</v>
      </c>
      <c r="F65" s="179" t="s">
        <v>73</v>
      </c>
      <c r="G65" s="180">
        <v>3132</v>
      </c>
      <c r="H65" s="181">
        <f t="shared" si="42"/>
        <v>100000</v>
      </c>
      <c r="I65" s="208"/>
      <c r="J65" s="208"/>
      <c r="K65" s="208">
        <v>50000</v>
      </c>
      <c r="L65" s="208"/>
      <c r="M65" s="208"/>
      <c r="N65" s="208"/>
      <c r="O65" s="209"/>
      <c r="P65" s="208"/>
      <c r="Q65" s="208"/>
      <c r="R65" s="208">
        <f>550000-500000</f>
        <v>50000</v>
      </c>
      <c r="S65" s="208"/>
      <c r="T65" s="227"/>
      <c r="U65" s="39">
        <f t="shared" si="43"/>
        <v>50000</v>
      </c>
      <c r="V65" s="125"/>
      <c r="W65" s="125"/>
      <c r="X65" s="41">
        <f t="shared" si="44"/>
        <v>0</v>
      </c>
      <c r="Y65" s="125"/>
      <c r="Z65" s="41">
        <f t="shared" si="45"/>
        <v>0</v>
      </c>
      <c r="AA65" s="42">
        <f t="shared" si="46"/>
        <v>-50000</v>
      </c>
      <c r="AB65" s="258"/>
      <c r="AC65" s="258"/>
    </row>
    <row r="66" spans="1:29" ht="36.75" thickBot="1" x14ac:dyDescent="0.3">
      <c r="E66" s="54">
        <v>10</v>
      </c>
      <c r="F66" s="179" t="s">
        <v>74</v>
      </c>
      <c r="G66" s="180">
        <v>3132</v>
      </c>
      <c r="H66" s="181">
        <f t="shared" si="42"/>
        <v>100000</v>
      </c>
      <c r="I66" s="208"/>
      <c r="J66" s="208"/>
      <c r="K66" s="208">
        <v>50000</v>
      </c>
      <c r="L66" s="208"/>
      <c r="M66" s="208"/>
      <c r="N66" s="208"/>
      <c r="O66" s="208"/>
      <c r="P66" s="208"/>
      <c r="Q66" s="208"/>
      <c r="R66" s="208">
        <f>950000-900000</f>
        <v>50000</v>
      </c>
      <c r="S66" s="208"/>
      <c r="T66" s="227"/>
      <c r="U66" s="39">
        <f t="shared" si="43"/>
        <v>50000</v>
      </c>
      <c r="V66" s="125"/>
      <c r="W66" s="125"/>
      <c r="X66" s="41">
        <f t="shared" si="44"/>
        <v>0</v>
      </c>
      <c r="Y66" s="125"/>
      <c r="Z66" s="41">
        <f t="shared" si="45"/>
        <v>0</v>
      </c>
      <c r="AA66" s="42">
        <f t="shared" si="46"/>
        <v>-50000</v>
      </c>
      <c r="AB66" s="258"/>
      <c r="AC66" s="258"/>
    </row>
    <row r="67" spans="1:29" ht="48.75" thickBot="1" x14ac:dyDescent="0.3">
      <c r="A67" t="s">
        <v>261</v>
      </c>
      <c r="B67" t="s">
        <v>236</v>
      </c>
      <c r="C67">
        <v>1756640.4</v>
      </c>
      <c r="D67" t="s">
        <v>258</v>
      </c>
      <c r="E67" s="54">
        <v>11</v>
      </c>
      <c r="F67" s="179" t="s">
        <v>75</v>
      </c>
      <c r="G67" s="180">
        <v>3132</v>
      </c>
      <c r="H67" s="181">
        <f t="shared" si="42"/>
        <v>2300000</v>
      </c>
      <c r="I67" s="208"/>
      <c r="J67" s="208">
        <v>2300000</v>
      </c>
      <c r="K67" s="208"/>
      <c r="L67" s="208"/>
      <c r="M67" s="208"/>
      <c r="N67" s="208"/>
      <c r="O67" s="208"/>
      <c r="P67" s="208"/>
      <c r="Q67" s="208"/>
      <c r="R67" s="208"/>
      <c r="S67" s="208"/>
      <c r="T67" s="227"/>
      <c r="U67" s="39">
        <f t="shared" si="43"/>
        <v>2300000</v>
      </c>
      <c r="V67" s="125">
        <f>17371.86+5881</f>
        <v>23252.86</v>
      </c>
      <c r="W67" s="125">
        <f>17371.86+5881</f>
        <v>23252.86</v>
      </c>
      <c r="X67" s="41">
        <f t="shared" si="44"/>
        <v>0</v>
      </c>
      <c r="Y67" s="125">
        <f>17371.86+5881+1756640.4+22748.8</f>
        <v>1802642.06</v>
      </c>
      <c r="Z67" s="41">
        <f t="shared" si="45"/>
        <v>1779389.2</v>
      </c>
      <c r="AA67" s="42">
        <f t="shared" si="46"/>
        <v>-497357.93999999994</v>
      </c>
      <c r="AB67" s="258"/>
      <c r="AC67" s="258"/>
    </row>
    <row r="68" spans="1:29" ht="36.75" thickBot="1" x14ac:dyDescent="0.3">
      <c r="A68" t="s">
        <v>260</v>
      </c>
      <c r="B68" t="s">
        <v>236</v>
      </c>
      <c r="C68">
        <v>868131.6</v>
      </c>
      <c r="D68" t="s">
        <v>259</v>
      </c>
      <c r="E68" s="54">
        <v>12</v>
      </c>
      <c r="F68" s="179" t="s">
        <v>76</v>
      </c>
      <c r="G68" s="180">
        <v>3132</v>
      </c>
      <c r="H68" s="181">
        <f t="shared" si="42"/>
        <v>930000</v>
      </c>
      <c r="I68" s="208"/>
      <c r="J68" s="208">
        <v>930000</v>
      </c>
      <c r="K68" s="208"/>
      <c r="L68" s="208"/>
      <c r="M68" s="208"/>
      <c r="N68" s="208"/>
      <c r="O68" s="208"/>
      <c r="P68" s="208"/>
      <c r="Q68" s="208"/>
      <c r="R68" s="208"/>
      <c r="S68" s="208"/>
      <c r="T68" s="227"/>
      <c r="U68" s="39">
        <f t="shared" si="43"/>
        <v>930000</v>
      </c>
      <c r="V68" s="125">
        <f>16020+5076</f>
        <v>21096</v>
      </c>
      <c r="W68" s="125">
        <f>16020+5076</f>
        <v>21096</v>
      </c>
      <c r="X68" s="41">
        <f t="shared" si="44"/>
        <v>0</v>
      </c>
      <c r="Y68" s="125">
        <f>16020+5076+868131.6+11217.95</f>
        <v>900445.54999999993</v>
      </c>
      <c r="Z68" s="41">
        <f t="shared" si="45"/>
        <v>879349.54999999993</v>
      </c>
      <c r="AA68" s="42">
        <f t="shared" si="46"/>
        <v>-29554.45000000007</v>
      </c>
      <c r="AB68" s="258"/>
      <c r="AC68" s="258"/>
    </row>
    <row r="69" spans="1:29" ht="36.75" thickBot="1" x14ac:dyDescent="0.3">
      <c r="A69" t="s">
        <v>252</v>
      </c>
      <c r="B69" s="102">
        <v>44606</v>
      </c>
      <c r="D69" t="s">
        <v>251</v>
      </c>
      <c r="E69" s="54">
        <v>13</v>
      </c>
      <c r="F69" s="190" t="s">
        <v>77</v>
      </c>
      <c r="G69" s="180">
        <v>3132</v>
      </c>
      <c r="H69" s="181">
        <f t="shared" si="42"/>
        <v>50000</v>
      </c>
      <c r="I69" s="208"/>
      <c r="J69" s="208"/>
      <c r="K69" s="208">
        <v>50000</v>
      </c>
      <c r="L69" s="208"/>
      <c r="M69" s="208"/>
      <c r="N69" s="208"/>
      <c r="O69" s="208"/>
      <c r="P69" s="208"/>
      <c r="Q69" s="208"/>
      <c r="R69" s="208"/>
      <c r="S69" s="208"/>
      <c r="T69" s="227"/>
      <c r="U69" s="39">
        <f t="shared" si="43"/>
        <v>50000</v>
      </c>
      <c r="V69" s="125"/>
      <c r="W69" s="125"/>
      <c r="X69" s="41">
        <f t="shared" si="44"/>
        <v>0</v>
      </c>
      <c r="Y69" s="125">
        <f>4272+13226.34</f>
        <v>17498.34</v>
      </c>
      <c r="Z69" s="41">
        <f t="shared" si="45"/>
        <v>17498.34</v>
      </c>
      <c r="AA69" s="42">
        <f t="shared" si="46"/>
        <v>-32501.66</v>
      </c>
      <c r="AB69" s="258"/>
      <c r="AC69" s="258"/>
    </row>
    <row r="70" spans="1:29" ht="36.75" thickBot="1" x14ac:dyDescent="0.3">
      <c r="E70" s="54">
        <v>14</v>
      </c>
      <c r="F70" s="190" t="s">
        <v>78</v>
      </c>
      <c r="G70" s="180">
        <v>3132</v>
      </c>
      <c r="H70" s="181">
        <f t="shared" si="42"/>
        <v>50000</v>
      </c>
      <c r="I70" s="208"/>
      <c r="J70" s="208"/>
      <c r="K70" s="208">
        <v>50000</v>
      </c>
      <c r="L70" s="208"/>
      <c r="M70" s="208"/>
      <c r="N70" s="208"/>
      <c r="O70" s="208"/>
      <c r="P70" s="208"/>
      <c r="Q70" s="208"/>
      <c r="R70" s="208"/>
      <c r="S70" s="208"/>
      <c r="T70" s="227"/>
      <c r="U70" s="39">
        <f t="shared" si="43"/>
        <v>50000</v>
      </c>
      <c r="V70" s="125"/>
      <c r="W70" s="125"/>
      <c r="X70" s="41">
        <f t="shared" si="44"/>
        <v>0</v>
      </c>
      <c r="Y70" s="125"/>
      <c r="Z70" s="41">
        <f t="shared" si="45"/>
        <v>0</v>
      </c>
      <c r="AA70" s="42">
        <f t="shared" si="46"/>
        <v>-50000</v>
      </c>
      <c r="AB70" s="258"/>
      <c r="AC70" s="258"/>
    </row>
    <row r="71" spans="1:29" ht="36.75" thickBot="1" x14ac:dyDescent="0.3">
      <c r="A71" t="s">
        <v>262</v>
      </c>
      <c r="B71" s="102">
        <v>44606</v>
      </c>
      <c r="D71" t="s">
        <v>251</v>
      </c>
      <c r="E71" s="54">
        <v>15</v>
      </c>
      <c r="F71" s="190" t="s">
        <v>79</v>
      </c>
      <c r="G71" s="180">
        <v>3132</v>
      </c>
      <c r="H71" s="181">
        <f t="shared" si="42"/>
        <v>160000</v>
      </c>
      <c r="I71" s="208"/>
      <c r="J71" s="208"/>
      <c r="K71" s="208">
        <v>25000</v>
      </c>
      <c r="L71" s="208"/>
      <c r="M71" s="208"/>
      <c r="N71" s="208"/>
      <c r="O71" s="208"/>
      <c r="P71" s="208"/>
      <c r="Q71" s="208"/>
      <c r="R71" s="208">
        <v>135000</v>
      </c>
      <c r="S71" s="208"/>
      <c r="T71" s="227"/>
      <c r="U71" s="39">
        <f t="shared" si="43"/>
        <v>25000</v>
      </c>
      <c r="V71" s="125"/>
      <c r="W71" s="125"/>
      <c r="X71" s="41">
        <f t="shared" si="44"/>
        <v>0</v>
      </c>
      <c r="Y71" s="125">
        <f>4272+13226.34</f>
        <v>17498.34</v>
      </c>
      <c r="Z71" s="41">
        <f t="shared" si="45"/>
        <v>17498.34</v>
      </c>
      <c r="AA71" s="42">
        <f t="shared" si="46"/>
        <v>-7501.66</v>
      </c>
      <c r="AB71" s="258"/>
      <c r="AC71" s="258"/>
    </row>
    <row r="72" spans="1:29" ht="24.75" thickBot="1" x14ac:dyDescent="0.3">
      <c r="E72" s="54">
        <v>16</v>
      </c>
      <c r="F72" s="190" t="s">
        <v>80</v>
      </c>
      <c r="G72" s="180">
        <v>3132</v>
      </c>
      <c r="H72" s="181">
        <f t="shared" si="42"/>
        <v>300000</v>
      </c>
      <c r="I72" s="208"/>
      <c r="J72" s="208"/>
      <c r="K72" s="208">
        <v>25000</v>
      </c>
      <c r="L72" s="208"/>
      <c r="M72" s="208"/>
      <c r="N72" s="208"/>
      <c r="O72" s="208"/>
      <c r="P72" s="208"/>
      <c r="Q72" s="208"/>
      <c r="R72" s="208"/>
      <c r="S72" s="208"/>
      <c r="T72" s="227">
        <v>275000</v>
      </c>
      <c r="U72" s="39">
        <f t="shared" si="43"/>
        <v>25000</v>
      </c>
      <c r="V72" s="125"/>
      <c r="W72" s="125"/>
      <c r="X72" s="41">
        <f t="shared" si="44"/>
        <v>0</v>
      </c>
      <c r="Y72" s="125"/>
      <c r="Z72" s="41">
        <f t="shared" si="45"/>
        <v>0</v>
      </c>
      <c r="AA72" s="42">
        <f t="shared" si="46"/>
        <v>-25000</v>
      </c>
      <c r="AB72" s="258"/>
      <c r="AC72" s="258"/>
    </row>
    <row r="73" spans="1:29" ht="36.75" thickBot="1" x14ac:dyDescent="0.3">
      <c r="D73" t="s">
        <v>263</v>
      </c>
      <c r="E73" s="54">
        <v>17</v>
      </c>
      <c r="F73" s="190" t="s">
        <v>81</v>
      </c>
      <c r="G73" s="180">
        <v>3132</v>
      </c>
      <c r="H73" s="181">
        <f t="shared" si="42"/>
        <v>500000</v>
      </c>
      <c r="I73" s="208"/>
      <c r="J73" s="208"/>
      <c r="K73" s="208">
        <v>50000</v>
      </c>
      <c r="L73" s="208"/>
      <c r="M73" s="208"/>
      <c r="N73" s="208"/>
      <c r="O73" s="208"/>
      <c r="P73" s="208"/>
      <c r="Q73" s="208"/>
      <c r="R73" s="208"/>
      <c r="S73" s="208"/>
      <c r="T73" s="227">
        <v>450000</v>
      </c>
      <c r="U73" s="39">
        <f t="shared" si="43"/>
        <v>50000</v>
      </c>
      <c r="V73" s="125"/>
      <c r="W73" s="125"/>
      <c r="X73" s="41">
        <f t="shared" si="44"/>
        <v>0</v>
      </c>
      <c r="Y73" s="125"/>
      <c r="Z73" s="41">
        <f t="shared" si="45"/>
        <v>0</v>
      </c>
      <c r="AA73" s="42">
        <f t="shared" si="46"/>
        <v>-50000</v>
      </c>
      <c r="AB73" s="258"/>
      <c r="AC73" s="258"/>
    </row>
    <row r="74" spans="1:29" ht="36.75" thickBot="1" x14ac:dyDescent="0.3">
      <c r="E74" s="54">
        <v>18</v>
      </c>
      <c r="F74" s="190" t="s">
        <v>82</v>
      </c>
      <c r="G74" s="180">
        <v>3132</v>
      </c>
      <c r="H74" s="181">
        <f t="shared" si="42"/>
        <v>350000</v>
      </c>
      <c r="I74" s="208"/>
      <c r="J74" s="208"/>
      <c r="K74" s="208">
        <v>25000</v>
      </c>
      <c r="L74" s="208"/>
      <c r="M74" s="208"/>
      <c r="N74" s="208"/>
      <c r="O74" s="208">
        <v>325000</v>
      </c>
      <c r="P74" s="208"/>
      <c r="Q74" s="208"/>
      <c r="R74" s="208"/>
      <c r="S74" s="208"/>
      <c r="T74" s="227"/>
      <c r="U74" s="39">
        <f t="shared" si="43"/>
        <v>350000</v>
      </c>
      <c r="V74" s="125"/>
      <c r="W74" s="125"/>
      <c r="X74" s="41">
        <f t="shared" si="44"/>
        <v>0</v>
      </c>
      <c r="Y74" s="125"/>
      <c r="Z74" s="41">
        <f t="shared" si="45"/>
        <v>0</v>
      </c>
      <c r="AA74" s="42">
        <f t="shared" si="46"/>
        <v>-350000</v>
      </c>
      <c r="AB74" s="258"/>
      <c r="AC74" s="258"/>
    </row>
    <row r="75" spans="1:29" ht="48.75" thickBot="1" x14ac:dyDescent="0.3">
      <c r="E75" s="54">
        <v>19</v>
      </c>
      <c r="F75" s="190" t="s">
        <v>83</v>
      </c>
      <c r="G75" s="180">
        <v>3132</v>
      </c>
      <c r="H75" s="181">
        <f t="shared" si="42"/>
        <v>400000</v>
      </c>
      <c r="I75" s="208"/>
      <c r="J75" s="210"/>
      <c r="K75" s="210">
        <v>50000</v>
      </c>
      <c r="L75" s="211"/>
      <c r="M75" s="211"/>
      <c r="N75" s="211"/>
      <c r="O75" s="211"/>
      <c r="P75" s="211"/>
      <c r="Q75" s="211"/>
      <c r="R75" s="211"/>
      <c r="S75" s="211"/>
      <c r="T75" s="228">
        <v>350000</v>
      </c>
      <c r="U75" s="39">
        <f t="shared" si="43"/>
        <v>50000</v>
      </c>
      <c r="V75" s="125"/>
      <c r="W75" s="125"/>
      <c r="X75" s="41">
        <f t="shared" si="44"/>
        <v>0</v>
      </c>
      <c r="Y75" s="125"/>
      <c r="Z75" s="41">
        <f t="shared" si="45"/>
        <v>0</v>
      </c>
      <c r="AA75" s="42">
        <f t="shared" si="46"/>
        <v>-50000</v>
      </c>
      <c r="AB75" s="258"/>
      <c r="AC75" s="258"/>
    </row>
    <row r="76" spans="1:29" ht="36.75" thickBot="1" x14ac:dyDescent="0.3">
      <c r="E76" s="54">
        <v>20</v>
      </c>
      <c r="F76" s="190" t="s">
        <v>84</v>
      </c>
      <c r="G76" s="180">
        <v>3132</v>
      </c>
      <c r="H76" s="181">
        <f>SUM(I76:T76)</f>
        <v>500000</v>
      </c>
      <c r="I76" s="208"/>
      <c r="J76" s="210"/>
      <c r="K76" s="210">
        <v>50000</v>
      </c>
      <c r="L76" s="211"/>
      <c r="M76" s="211"/>
      <c r="N76" s="211"/>
      <c r="O76" s="211"/>
      <c r="P76" s="211"/>
      <c r="Q76" s="211"/>
      <c r="R76" s="211"/>
      <c r="S76" s="211"/>
      <c r="T76" s="228">
        <v>450000</v>
      </c>
      <c r="U76" s="39">
        <f t="shared" si="43"/>
        <v>50000</v>
      </c>
      <c r="V76" s="125"/>
      <c r="W76" s="125"/>
      <c r="X76" s="41">
        <f t="shared" si="44"/>
        <v>0</v>
      </c>
      <c r="Y76" s="125"/>
      <c r="Z76" s="41">
        <f t="shared" si="45"/>
        <v>0</v>
      </c>
      <c r="AA76" s="42">
        <f t="shared" si="46"/>
        <v>-50000</v>
      </c>
      <c r="AB76" s="258"/>
      <c r="AC76" s="258"/>
    </row>
    <row r="77" spans="1:29" ht="34.5" thickBot="1" x14ac:dyDescent="0.3">
      <c r="E77" s="54">
        <v>21</v>
      </c>
      <c r="F77" s="191" t="s">
        <v>269</v>
      </c>
      <c r="G77" s="180">
        <v>3132</v>
      </c>
      <c r="H77" s="181">
        <f>SUM(I77:T77)</f>
        <v>100000</v>
      </c>
      <c r="I77" s="208"/>
      <c r="J77" s="210"/>
      <c r="K77" s="210"/>
      <c r="L77" s="211"/>
      <c r="M77" s="211"/>
      <c r="N77" s="211"/>
      <c r="O77" s="211">
        <v>100000</v>
      </c>
      <c r="P77" s="211"/>
      <c r="Q77" s="211"/>
      <c r="R77" s="211"/>
      <c r="S77" s="211"/>
      <c r="T77" s="228"/>
      <c r="U77" s="39">
        <f t="shared" si="43"/>
        <v>100000</v>
      </c>
      <c r="V77" s="148"/>
      <c r="W77" s="148"/>
      <c r="X77" s="41">
        <f t="shared" si="44"/>
        <v>0</v>
      </c>
      <c r="Y77" s="148"/>
      <c r="Z77" s="41">
        <f t="shared" si="45"/>
        <v>0</v>
      </c>
      <c r="AA77" s="42">
        <f t="shared" si="46"/>
        <v>-100000</v>
      </c>
      <c r="AB77" s="258"/>
      <c r="AC77" s="258"/>
    </row>
    <row r="78" spans="1:29" ht="15.75" thickBot="1" x14ac:dyDescent="0.3">
      <c r="E78" s="54"/>
      <c r="F78" s="53" t="s">
        <v>85</v>
      </c>
      <c r="G78" s="53"/>
      <c r="H78" s="53">
        <f>SUM(H79:H94)</f>
        <v>6104500</v>
      </c>
      <c r="I78" s="53">
        <f>SUM(I79:I94)-I80</f>
        <v>410000</v>
      </c>
      <c r="J78" s="53">
        <f t="shared" ref="J78:T78" si="47">SUM(J79:J94)-J80</f>
        <v>450000</v>
      </c>
      <c r="K78" s="53">
        <f t="shared" si="47"/>
        <v>1087000</v>
      </c>
      <c r="L78" s="53">
        <f t="shared" si="47"/>
        <v>1075500</v>
      </c>
      <c r="M78" s="53">
        <f t="shared" si="47"/>
        <v>0</v>
      </c>
      <c r="N78" s="53">
        <f t="shared" si="47"/>
        <v>0</v>
      </c>
      <c r="O78" s="53">
        <f t="shared" si="47"/>
        <v>50000</v>
      </c>
      <c r="P78" s="53">
        <f t="shared" si="47"/>
        <v>525000</v>
      </c>
      <c r="Q78" s="53">
        <f t="shared" si="47"/>
        <v>0</v>
      </c>
      <c r="R78" s="53">
        <f t="shared" si="47"/>
        <v>358000</v>
      </c>
      <c r="S78" s="53">
        <f t="shared" si="47"/>
        <v>800000</v>
      </c>
      <c r="T78" s="226">
        <f t="shared" si="47"/>
        <v>649000</v>
      </c>
      <c r="U78" s="39">
        <f t="shared" si="43"/>
        <v>3072500</v>
      </c>
      <c r="V78" s="53">
        <f t="shared" ref="V78:AA78" si="48">SUM(V79:V94)</f>
        <v>34498</v>
      </c>
      <c r="W78" s="53">
        <f t="shared" si="48"/>
        <v>34498</v>
      </c>
      <c r="X78" s="53">
        <f t="shared" si="48"/>
        <v>0</v>
      </c>
      <c r="Y78" s="53">
        <f t="shared" si="48"/>
        <v>96090</v>
      </c>
      <c r="Z78" s="53">
        <f t="shared" si="48"/>
        <v>61592</v>
      </c>
      <c r="AA78" s="53">
        <f t="shared" si="48"/>
        <v>-2976410</v>
      </c>
      <c r="AB78" s="263"/>
      <c r="AC78" s="263"/>
    </row>
    <row r="79" spans="1:29" ht="36.75" thickBot="1" x14ac:dyDescent="0.3">
      <c r="A79" t="s">
        <v>216</v>
      </c>
      <c r="B79" t="s">
        <v>217</v>
      </c>
      <c r="D79" t="s">
        <v>215</v>
      </c>
      <c r="E79" s="54">
        <v>22</v>
      </c>
      <c r="F79" s="55" t="s">
        <v>86</v>
      </c>
      <c r="G79" s="56">
        <v>3132</v>
      </c>
      <c r="H79" s="58">
        <f>SUM(I79:T79)</f>
        <v>1125500</v>
      </c>
      <c r="I79" s="182">
        <v>200000</v>
      </c>
      <c r="J79" s="182">
        <v>200000</v>
      </c>
      <c r="K79" s="58"/>
      <c r="L79" s="58">
        <v>725500</v>
      </c>
      <c r="M79" s="59"/>
      <c r="N79" s="59"/>
      <c r="O79" s="59"/>
      <c r="P79" s="59"/>
      <c r="Q79" s="59"/>
      <c r="R79" s="59"/>
      <c r="S79" s="59"/>
      <c r="T79" s="229"/>
      <c r="U79" s="39">
        <f t="shared" si="43"/>
        <v>1125500</v>
      </c>
      <c r="V79" s="126">
        <f>12150</f>
        <v>12150</v>
      </c>
      <c r="W79" s="126">
        <f>12150</f>
        <v>12150</v>
      </c>
      <c r="X79" s="106">
        <f t="shared" ref="X79:X94" si="49">W79-V79</f>
        <v>0</v>
      </c>
      <c r="Y79" s="126">
        <f>12150</f>
        <v>12150</v>
      </c>
      <c r="Z79" s="41">
        <f t="shared" ref="Z79:Z94" si="50">Y79-V79</f>
        <v>0</v>
      </c>
      <c r="AA79" s="42">
        <f t="shared" ref="AA79:AA94" si="51">Y79-U79</f>
        <v>-1113350</v>
      </c>
      <c r="AB79" s="258"/>
      <c r="AC79" s="258"/>
    </row>
    <row r="80" spans="1:29" ht="23.25" thickBot="1" x14ac:dyDescent="0.3">
      <c r="E80" s="54"/>
      <c r="F80" s="146" t="s">
        <v>270</v>
      </c>
      <c r="G80" s="56"/>
      <c r="H80" s="58">
        <f>SUM(I80:T80)</f>
        <v>200000</v>
      </c>
      <c r="I80" s="189"/>
      <c r="J80" s="189">
        <v>200000</v>
      </c>
      <c r="K80" s="145"/>
      <c r="L80" s="145"/>
      <c r="M80" s="145"/>
      <c r="N80" s="145"/>
      <c r="O80" s="145"/>
      <c r="P80" s="145"/>
      <c r="Q80" s="145"/>
      <c r="R80" s="145"/>
      <c r="S80" s="145"/>
      <c r="T80" s="229"/>
      <c r="U80" s="39">
        <f t="shared" si="43"/>
        <v>200000</v>
      </c>
      <c r="V80" s="126"/>
      <c r="W80" s="126"/>
      <c r="X80" s="106"/>
      <c r="Y80" s="126"/>
      <c r="Z80" s="41"/>
      <c r="AA80" s="42"/>
      <c r="AB80" s="258"/>
      <c r="AC80" s="258"/>
    </row>
    <row r="81" spans="1:29" ht="24.75" thickBot="1" x14ac:dyDescent="0.3">
      <c r="E81" s="54">
        <f>E79+1</f>
        <v>23</v>
      </c>
      <c r="F81" s="179" t="s">
        <v>87</v>
      </c>
      <c r="G81" s="180">
        <v>3132</v>
      </c>
      <c r="H81" s="182">
        <f t="shared" ref="H81:H89" si="52">SUM(I81:T81)</f>
        <v>450000</v>
      </c>
      <c r="I81" s="208">
        <v>20000</v>
      </c>
      <c r="J81" s="208"/>
      <c r="K81" s="208">
        <v>30000</v>
      </c>
      <c r="L81" s="208"/>
      <c r="M81" s="208"/>
      <c r="N81" s="208"/>
      <c r="O81" s="208">
        <v>50000</v>
      </c>
      <c r="P81" s="208">
        <v>350000</v>
      </c>
      <c r="Q81" s="208"/>
      <c r="R81" s="208"/>
      <c r="S81" s="208"/>
      <c r="T81" s="227"/>
      <c r="U81" s="39">
        <f t="shared" si="43"/>
        <v>100000</v>
      </c>
      <c r="V81" s="125"/>
      <c r="W81" s="125"/>
      <c r="X81" s="41">
        <f t="shared" si="49"/>
        <v>0</v>
      </c>
      <c r="Y81" s="125"/>
      <c r="Z81" s="41">
        <f t="shared" si="50"/>
        <v>0</v>
      </c>
      <c r="AA81" s="42">
        <f t="shared" si="51"/>
        <v>-100000</v>
      </c>
      <c r="AB81" s="258"/>
      <c r="AC81" s="258"/>
    </row>
    <row r="82" spans="1:29" ht="24.75" thickBot="1" x14ac:dyDescent="0.3">
      <c r="E82" s="54">
        <f>E81+1</f>
        <v>24</v>
      </c>
      <c r="F82" s="179" t="s">
        <v>88</v>
      </c>
      <c r="G82" s="180">
        <v>3132</v>
      </c>
      <c r="H82" s="182">
        <f t="shared" si="52"/>
        <v>907000</v>
      </c>
      <c r="I82" s="208"/>
      <c r="J82" s="208"/>
      <c r="K82" s="208">
        <v>907000</v>
      </c>
      <c r="L82" s="208"/>
      <c r="M82" s="208"/>
      <c r="N82" s="208"/>
      <c r="O82" s="208"/>
      <c r="P82" s="208"/>
      <c r="Q82" s="208"/>
      <c r="R82" s="208"/>
      <c r="S82" s="208"/>
      <c r="T82" s="227"/>
      <c r="U82" s="39">
        <f t="shared" si="43"/>
        <v>907000</v>
      </c>
      <c r="V82" s="125"/>
      <c r="W82" s="125"/>
      <c r="X82" s="41">
        <f t="shared" si="49"/>
        <v>0</v>
      </c>
      <c r="Y82" s="125"/>
      <c r="Z82" s="41">
        <f t="shared" si="50"/>
        <v>0</v>
      </c>
      <c r="AA82" s="42">
        <f t="shared" si="51"/>
        <v>-907000</v>
      </c>
      <c r="AB82" s="258"/>
      <c r="AC82" s="258"/>
    </row>
    <row r="83" spans="1:29" ht="24.75" thickBot="1" x14ac:dyDescent="0.3">
      <c r="A83" t="s">
        <v>354</v>
      </c>
      <c r="B83" t="s">
        <v>353</v>
      </c>
      <c r="D83" t="s">
        <v>344</v>
      </c>
      <c r="E83" s="54">
        <f t="shared" ref="E83:E94" si="53">E82+1</f>
        <v>25</v>
      </c>
      <c r="F83" s="179" t="s">
        <v>89</v>
      </c>
      <c r="G83" s="180">
        <v>3132</v>
      </c>
      <c r="H83" s="182">
        <f t="shared" si="52"/>
        <v>200000</v>
      </c>
      <c r="I83" s="208"/>
      <c r="J83" s="208"/>
      <c r="K83" s="208">
        <v>25000</v>
      </c>
      <c r="L83" s="208"/>
      <c r="M83" s="208"/>
      <c r="N83" s="208"/>
      <c r="O83" s="208"/>
      <c r="P83" s="208">
        <v>175000</v>
      </c>
      <c r="Q83" s="208"/>
      <c r="R83" s="208"/>
      <c r="S83" s="208"/>
      <c r="T83" s="227"/>
      <c r="U83" s="39">
        <f t="shared" si="43"/>
        <v>25000</v>
      </c>
      <c r="V83" s="125"/>
      <c r="W83" s="125"/>
      <c r="X83" s="41">
        <f t="shared" si="49"/>
        <v>0</v>
      </c>
      <c r="Y83" s="125">
        <v>10146</v>
      </c>
      <c r="Z83" s="41">
        <f t="shared" si="50"/>
        <v>10146</v>
      </c>
      <c r="AA83" s="42">
        <f t="shared" si="51"/>
        <v>-14854</v>
      </c>
      <c r="AB83" s="258"/>
      <c r="AC83" s="258"/>
    </row>
    <row r="84" spans="1:29" ht="48.75" thickBot="1" x14ac:dyDescent="0.3">
      <c r="A84" t="s">
        <v>345</v>
      </c>
      <c r="B84" s="102">
        <v>44644</v>
      </c>
      <c r="D84" t="s">
        <v>344</v>
      </c>
      <c r="E84" s="54">
        <f t="shared" si="53"/>
        <v>26</v>
      </c>
      <c r="F84" s="179" t="s">
        <v>90</v>
      </c>
      <c r="G84" s="180">
        <v>3132</v>
      </c>
      <c r="H84" s="182">
        <f t="shared" si="52"/>
        <v>100000</v>
      </c>
      <c r="I84" s="208"/>
      <c r="J84" s="208"/>
      <c r="K84" s="208">
        <v>50000</v>
      </c>
      <c r="L84" s="208"/>
      <c r="M84" s="208"/>
      <c r="N84" s="208"/>
      <c r="O84" s="208"/>
      <c r="P84" s="208"/>
      <c r="Q84" s="208"/>
      <c r="R84" s="208">
        <f>950000-900000</f>
        <v>50000</v>
      </c>
      <c r="S84" s="208"/>
      <c r="T84" s="227"/>
      <c r="U84" s="39">
        <f t="shared" si="43"/>
        <v>50000</v>
      </c>
      <c r="V84" s="125"/>
      <c r="W84" s="125"/>
      <c r="X84" s="41">
        <f t="shared" si="49"/>
        <v>0</v>
      </c>
      <c r="Y84" s="125">
        <f>25956</f>
        <v>25956</v>
      </c>
      <c r="Z84" s="41">
        <f t="shared" si="50"/>
        <v>25956</v>
      </c>
      <c r="AA84" s="42">
        <f t="shared" si="51"/>
        <v>-24044</v>
      </c>
      <c r="AB84" s="258"/>
      <c r="AC84" s="258"/>
    </row>
    <row r="85" spans="1:29" ht="36.75" thickBot="1" x14ac:dyDescent="0.3">
      <c r="E85" s="54">
        <f t="shared" si="53"/>
        <v>27</v>
      </c>
      <c r="F85" s="179" t="s">
        <v>91</v>
      </c>
      <c r="G85" s="180">
        <v>3132</v>
      </c>
      <c r="H85" s="182">
        <f t="shared" si="52"/>
        <v>1499000</v>
      </c>
      <c r="I85" s="208"/>
      <c r="J85" s="208"/>
      <c r="K85" s="208">
        <v>50000</v>
      </c>
      <c r="L85" s="208"/>
      <c r="M85" s="208"/>
      <c r="N85" s="208"/>
      <c r="O85" s="208"/>
      <c r="P85" s="208"/>
      <c r="Q85" s="208"/>
      <c r="R85" s="208"/>
      <c r="S85" s="208">
        <v>800000</v>
      </c>
      <c r="T85" s="227">
        <v>649000</v>
      </c>
      <c r="U85" s="39">
        <f t="shared" si="43"/>
        <v>50000</v>
      </c>
      <c r="V85" s="125"/>
      <c r="W85" s="125"/>
      <c r="X85" s="41">
        <f t="shared" si="49"/>
        <v>0</v>
      </c>
      <c r="Y85" s="125"/>
      <c r="Z85" s="41">
        <f t="shared" si="50"/>
        <v>0</v>
      </c>
      <c r="AA85" s="42">
        <f t="shared" si="51"/>
        <v>-50000</v>
      </c>
      <c r="AB85" s="258"/>
      <c r="AC85" s="258"/>
    </row>
    <row r="86" spans="1:29" ht="24.75" thickBot="1" x14ac:dyDescent="0.3">
      <c r="A86" t="s">
        <v>223</v>
      </c>
      <c r="B86" s="102">
        <v>44592</v>
      </c>
      <c r="D86" t="s">
        <v>222</v>
      </c>
      <c r="E86" s="54">
        <f t="shared" si="53"/>
        <v>28</v>
      </c>
      <c r="F86" s="179" t="s">
        <v>92</v>
      </c>
      <c r="G86" s="180">
        <v>3132</v>
      </c>
      <c r="H86" s="182">
        <f t="shared" si="52"/>
        <v>112000</v>
      </c>
      <c r="I86" s="208"/>
      <c r="J86" s="208"/>
      <c r="K86" s="208">
        <v>25000</v>
      </c>
      <c r="L86" s="208"/>
      <c r="M86" s="208"/>
      <c r="N86" s="208"/>
      <c r="O86" s="208"/>
      <c r="P86" s="208"/>
      <c r="Q86" s="208"/>
      <c r="R86" s="208">
        <v>87000</v>
      </c>
      <c r="S86" s="208"/>
      <c r="T86" s="227"/>
      <c r="U86" s="39">
        <f t="shared" si="43"/>
        <v>25000</v>
      </c>
      <c r="V86" s="126"/>
      <c r="W86" s="126"/>
      <c r="X86" s="106">
        <f t="shared" si="49"/>
        <v>0</v>
      </c>
      <c r="Y86" s="126">
        <f>5900</f>
        <v>5900</v>
      </c>
      <c r="Z86" s="41">
        <f t="shared" si="50"/>
        <v>5900</v>
      </c>
      <c r="AA86" s="42">
        <f t="shared" si="51"/>
        <v>-19100</v>
      </c>
      <c r="AB86" s="258"/>
      <c r="AC86" s="258"/>
    </row>
    <row r="87" spans="1:29" ht="24.75" thickBot="1" x14ac:dyDescent="0.3">
      <c r="A87" t="s">
        <v>224</v>
      </c>
      <c r="B87" s="102">
        <v>44592</v>
      </c>
      <c r="D87" t="s">
        <v>222</v>
      </c>
      <c r="E87" s="54">
        <f t="shared" si="53"/>
        <v>29</v>
      </c>
      <c r="F87" s="190" t="s">
        <v>93</v>
      </c>
      <c r="G87" s="180">
        <v>3132</v>
      </c>
      <c r="H87" s="182">
        <f t="shared" si="52"/>
        <v>112000</v>
      </c>
      <c r="I87" s="208">
        <v>25000</v>
      </c>
      <c r="J87" s="208"/>
      <c r="K87" s="208"/>
      <c r="L87" s="208"/>
      <c r="M87" s="208"/>
      <c r="N87" s="208"/>
      <c r="O87" s="208"/>
      <c r="P87" s="208"/>
      <c r="Q87" s="208"/>
      <c r="R87" s="208">
        <v>87000</v>
      </c>
      <c r="S87" s="208"/>
      <c r="T87" s="227"/>
      <c r="U87" s="39">
        <f t="shared" si="43"/>
        <v>25000</v>
      </c>
      <c r="V87" s="126">
        <f>5900</f>
        <v>5900</v>
      </c>
      <c r="W87" s="126">
        <f>5900</f>
        <v>5900</v>
      </c>
      <c r="X87" s="106">
        <f t="shared" si="49"/>
        <v>0</v>
      </c>
      <c r="Y87" s="126">
        <f>5900</f>
        <v>5900</v>
      </c>
      <c r="Z87" s="41">
        <f t="shared" si="50"/>
        <v>0</v>
      </c>
      <c r="AA87" s="42">
        <f t="shared" si="51"/>
        <v>-19100</v>
      </c>
      <c r="AB87" s="258"/>
      <c r="AC87" s="258"/>
    </row>
    <row r="88" spans="1:29" ht="36.75" thickBot="1" x14ac:dyDescent="0.3">
      <c r="E88" s="54">
        <f t="shared" si="53"/>
        <v>30</v>
      </c>
      <c r="F88" s="60" t="s">
        <v>94</v>
      </c>
      <c r="G88" s="56">
        <v>3132</v>
      </c>
      <c r="H88" s="58">
        <f t="shared" si="52"/>
        <v>0</v>
      </c>
      <c r="I88" s="208"/>
      <c r="J88" s="208"/>
      <c r="K88" s="208"/>
      <c r="L88" s="208"/>
      <c r="M88" s="208"/>
      <c r="N88" s="208"/>
      <c r="O88" s="208"/>
      <c r="P88" s="208"/>
      <c r="Q88" s="208"/>
      <c r="R88" s="208"/>
      <c r="S88" s="208"/>
      <c r="T88" s="227"/>
      <c r="U88" s="39">
        <f t="shared" si="43"/>
        <v>0</v>
      </c>
      <c r="V88" s="64"/>
      <c r="W88" s="64"/>
      <c r="X88" s="41">
        <f t="shared" si="49"/>
        <v>0</v>
      </c>
      <c r="Y88" s="125"/>
      <c r="Z88" s="41">
        <f t="shared" si="50"/>
        <v>0</v>
      </c>
      <c r="AA88" s="42">
        <f t="shared" si="51"/>
        <v>0</v>
      </c>
      <c r="AB88" s="258"/>
      <c r="AC88" s="258"/>
    </row>
    <row r="89" spans="1:29" ht="24.75" thickBot="1" x14ac:dyDescent="0.3">
      <c r="E89" s="54">
        <f t="shared" si="53"/>
        <v>31</v>
      </c>
      <c r="F89" s="60" t="s">
        <v>95</v>
      </c>
      <c r="G89" s="56">
        <v>3132</v>
      </c>
      <c r="H89" s="58">
        <f t="shared" si="52"/>
        <v>50000</v>
      </c>
      <c r="I89" s="208">
        <v>25000</v>
      </c>
      <c r="J89" s="208"/>
      <c r="K89" s="208"/>
      <c r="L89" s="208"/>
      <c r="M89" s="208"/>
      <c r="N89" s="208"/>
      <c r="O89" s="208"/>
      <c r="P89" s="208"/>
      <c r="Q89" s="208"/>
      <c r="R89" s="208">
        <v>25000</v>
      </c>
      <c r="S89" s="208"/>
      <c r="T89" s="227"/>
      <c r="U89" s="39">
        <f t="shared" si="43"/>
        <v>25000</v>
      </c>
      <c r="V89" s="64"/>
      <c r="W89" s="64"/>
      <c r="X89" s="41">
        <f t="shared" si="49"/>
        <v>0</v>
      </c>
      <c r="Y89" s="125"/>
      <c r="Z89" s="41">
        <f t="shared" si="50"/>
        <v>0</v>
      </c>
      <c r="AA89" s="42">
        <f t="shared" si="51"/>
        <v>-25000</v>
      </c>
      <c r="AB89" s="258"/>
      <c r="AC89" s="258"/>
    </row>
    <row r="90" spans="1:29" ht="24.75" thickBot="1" x14ac:dyDescent="0.3">
      <c r="E90" s="54">
        <f t="shared" si="53"/>
        <v>32</v>
      </c>
      <c r="F90" s="60" t="s">
        <v>96</v>
      </c>
      <c r="G90" s="56">
        <v>3132</v>
      </c>
      <c r="H90" s="57">
        <v>100000</v>
      </c>
      <c r="I90" s="208">
        <v>25000</v>
      </c>
      <c r="J90" s="208"/>
      <c r="K90" s="208"/>
      <c r="L90" s="208"/>
      <c r="M90" s="208"/>
      <c r="N90" s="208"/>
      <c r="O90" s="208"/>
      <c r="P90" s="208"/>
      <c r="Q90" s="208"/>
      <c r="R90" s="208">
        <v>75000</v>
      </c>
      <c r="S90" s="208"/>
      <c r="T90" s="227"/>
      <c r="U90" s="39">
        <f t="shared" si="43"/>
        <v>25000</v>
      </c>
      <c r="V90" s="64"/>
      <c r="W90" s="64"/>
      <c r="X90" s="41">
        <f t="shared" si="49"/>
        <v>0</v>
      </c>
      <c r="Y90" s="125"/>
      <c r="Z90" s="41">
        <f t="shared" si="50"/>
        <v>0</v>
      </c>
      <c r="AA90" s="42">
        <f t="shared" si="51"/>
        <v>-25000</v>
      </c>
      <c r="AB90" s="258"/>
      <c r="AC90" s="258"/>
    </row>
    <row r="91" spans="1:29" ht="48.75" thickBot="1" x14ac:dyDescent="0.3">
      <c r="A91" s="122" t="s">
        <v>239</v>
      </c>
      <c r="B91" s="123">
        <v>44229</v>
      </c>
      <c r="D91" t="s">
        <v>238</v>
      </c>
      <c r="E91" s="54">
        <f t="shared" si="53"/>
        <v>33</v>
      </c>
      <c r="F91" s="190" t="s">
        <v>97</v>
      </c>
      <c r="G91" s="180">
        <v>3132</v>
      </c>
      <c r="H91" s="181">
        <v>49000</v>
      </c>
      <c r="I91" s="208">
        <f>15000+1450</f>
        <v>16450</v>
      </c>
      <c r="J91" s="208"/>
      <c r="K91" s="208"/>
      <c r="L91" s="208"/>
      <c r="M91" s="208"/>
      <c r="N91" s="208"/>
      <c r="O91" s="208"/>
      <c r="P91" s="208"/>
      <c r="Q91" s="208"/>
      <c r="R91" s="208">
        <f>34000-1450</f>
        <v>32550</v>
      </c>
      <c r="S91" s="208"/>
      <c r="T91" s="227"/>
      <c r="U91" s="39">
        <f t="shared" si="43"/>
        <v>16450</v>
      </c>
      <c r="V91" s="125">
        <f>12176+4272</f>
        <v>16448</v>
      </c>
      <c r="W91" s="125">
        <f>12176+4272</f>
        <v>16448</v>
      </c>
      <c r="X91" s="41">
        <f t="shared" si="49"/>
        <v>0</v>
      </c>
      <c r="Y91" s="125">
        <f>12176+4272</f>
        <v>16448</v>
      </c>
      <c r="Z91" s="41">
        <f t="shared" si="50"/>
        <v>0</v>
      </c>
      <c r="AA91" s="42">
        <f t="shared" si="51"/>
        <v>-2</v>
      </c>
      <c r="AB91" s="258"/>
      <c r="AC91" s="258"/>
    </row>
    <row r="92" spans="1:29" ht="39.75" customHeight="1" thickBot="1" x14ac:dyDescent="0.3">
      <c r="A92" t="s">
        <v>266</v>
      </c>
      <c r="B92" t="s">
        <v>265</v>
      </c>
      <c r="D92" t="s">
        <v>264</v>
      </c>
      <c r="E92" s="54">
        <f t="shared" si="53"/>
        <v>34</v>
      </c>
      <c r="F92" s="190" t="s">
        <v>98</v>
      </c>
      <c r="G92" s="180">
        <v>3132</v>
      </c>
      <c r="H92" s="181">
        <v>400000</v>
      </c>
      <c r="I92" s="208">
        <f t="shared" ref="I92" si="54">50000-1450</f>
        <v>48550</v>
      </c>
      <c r="J92" s="208"/>
      <c r="K92" s="208"/>
      <c r="L92" s="208">
        <v>350000</v>
      </c>
      <c r="M92" s="208"/>
      <c r="N92" s="208"/>
      <c r="O92" s="208"/>
      <c r="P92" s="208"/>
      <c r="Q92" s="208"/>
      <c r="R92" s="208">
        <f>1450</f>
        <v>1450</v>
      </c>
      <c r="S92" s="208"/>
      <c r="T92" s="227"/>
      <c r="U92" s="39">
        <f t="shared" si="43"/>
        <v>398550</v>
      </c>
      <c r="V92" s="125"/>
      <c r="W92" s="125"/>
      <c r="X92" s="41">
        <f t="shared" si="49"/>
        <v>0</v>
      </c>
      <c r="Y92" s="125">
        <f>15318+4272</f>
        <v>19590</v>
      </c>
      <c r="Z92" s="41">
        <f t="shared" si="50"/>
        <v>19590</v>
      </c>
      <c r="AA92" s="42">
        <f t="shared" si="51"/>
        <v>-378960</v>
      </c>
      <c r="AB92" s="258"/>
      <c r="AC92" s="258"/>
    </row>
    <row r="93" spans="1:29" ht="23.25" thickBot="1" x14ac:dyDescent="0.3">
      <c r="E93" s="54">
        <f t="shared" si="53"/>
        <v>35</v>
      </c>
      <c r="F93" s="191" t="s">
        <v>271</v>
      </c>
      <c r="G93" s="180">
        <v>3132</v>
      </c>
      <c r="H93" s="181">
        <v>400000</v>
      </c>
      <c r="I93" s="208">
        <v>50000</v>
      </c>
      <c r="J93" s="208">
        <v>150000</v>
      </c>
      <c r="K93" s="208"/>
      <c r="L93" s="208"/>
      <c r="M93" s="208"/>
      <c r="N93" s="208"/>
      <c r="O93" s="208"/>
      <c r="P93" s="208"/>
      <c r="Q93" s="208"/>
      <c r="R93" s="208"/>
      <c r="S93" s="208"/>
      <c r="T93" s="227"/>
      <c r="U93" s="39">
        <f t="shared" si="43"/>
        <v>200000</v>
      </c>
      <c r="V93" s="148"/>
      <c r="W93" s="148"/>
      <c r="X93" s="41">
        <f t="shared" si="49"/>
        <v>0</v>
      </c>
      <c r="Y93" s="148"/>
      <c r="Z93" s="41">
        <f t="shared" si="50"/>
        <v>0</v>
      </c>
      <c r="AA93" s="42">
        <f t="shared" si="51"/>
        <v>-200000</v>
      </c>
      <c r="AB93" s="258"/>
      <c r="AC93" s="258"/>
    </row>
    <row r="94" spans="1:29" ht="34.5" thickBot="1" x14ac:dyDescent="0.3">
      <c r="E94" s="54">
        <f t="shared" si="53"/>
        <v>36</v>
      </c>
      <c r="F94" s="191" t="s">
        <v>272</v>
      </c>
      <c r="G94" s="180">
        <v>3132</v>
      </c>
      <c r="H94" s="181">
        <v>400000</v>
      </c>
      <c r="I94" s="208"/>
      <c r="J94" s="208">
        <v>100000</v>
      </c>
      <c r="K94" s="208"/>
      <c r="L94" s="208"/>
      <c r="M94" s="208"/>
      <c r="N94" s="208"/>
      <c r="O94" s="208"/>
      <c r="P94" s="208"/>
      <c r="Q94" s="208"/>
      <c r="R94" s="208"/>
      <c r="S94" s="208"/>
      <c r="T94" s="227"/>
      <c r="U94" s="39">
        <f t="shared" si="43"/>
        <v>100000</v>
      </c>
      <c r="V94" s="148"/>
      <c r="W94" s="148"/>
      <c r="X94" s="41">
        <f t="shared" si="49"/>
        <v>0</v>
      </c>
      <c r="Y94" s="148"/>
      <c r="Z94" s="41">
        <f t="shared" si="50"/>
        <v>0</v>
      </c>
      <c r="AA94" s="42">
        <f t="shared" si="51"/>
        <v>-100000</v>
      </c>
      <c r="AB94" s="258"/>
      <c r="AC94" s="258"/>
    </row>
    <row r="95" spans="1:29" ht="15.75" thickBot="1" x14ac:dyDescent="0.3">
      <c r="E95" s="478" t="s">
        <v>99</v>
      </c>
      <c r="F95" s="479"/>
      <c r="G95" s="479"/>
      <c r="H95" s="53">
        <f>SUM(H96:H122)</f>
        <v>12350386</v>
      </c>
      <c r="I95" s="53">
        <f>SUM(I96:I122)-I116-I100</f>
        <v>1327000</v>
      </c>
      <c r="J95" s="53">
        <f t="shared" ref="J95:T95" si="55">SUM(J96:J122)-J116-J100</f>
        <v>2936000</v>
      </c>
      <c r="K95" s="53">
        <f t="shared" si="55"/>
        <v>1554500</v>
      </c>
      <c r="L95" s="53">
        <f t="shared" si="55"/>
        <v>2367000</v>
      </c>
      <c r="M95" s="53">
        <f t="shared" si="55"/>
        <v>697886</v>
      </c>
      <c r="N95" s="53">
        <f t="shared" si="55"/>
        <v>0</v>
      </c>
      <c r="O95" s="53">
        <f t="shared" si="55"/>
        <v>417000</v>
      </c>
      <c r="P95" s="53">
        <f t="shared" si="55"/>
        <v>850000</v>
      </c>
      <c r="Q95" s="53">
        <f t="shared" si="55"/>
        <v>50000</v>
      </c>
      <c r="R95" s="53">
        <f t="shared" si="55"/>
        <v>1511000</v>
      </c>
      <c r="S95" s="53">
        <f t="shared" si="55"/>
        <v>0</v>
      </c>
      <c r="T95" s="226">
        <f t="shared" si="55"/>
        <v>0</v>
      </c>
      <c r="U95" s="39">
        <f t="shared" si="43"/>
        <v>9299386</v>
      </c>
      <c r="V95" s="53">
        <f t="shared" ref="V95:AA95" si="56">SUM(V96:V122)</f>
        <v>1240277.74</v>
      </c>
      <c r="W95" s="53">
        <f t="shared" si="56"/>
        <v>1240277.74</v>
      </c>
      <c r="X95" s="53">
        <f t="shared" si="56"/>
        <v>0</v>
      </c>
      <c r="Y95" s="53">
        <f t="shared" si="56"/>
        <v>2805157.13</v>
      </c>
      <c r="Z95" s="53">
        <f t="shared" si="56"/>
        <v>1564879.39</v>
      </c>
      <c r="AA95" s="53">
        <f t="shared" si="56"/>
        <v>-6494228.8700000001</v>
      </c>
      <c r="AB95" s="263"/>
      <c r="AC95" s="263"/>
    </row>
    <row r="96" spans="1:29" ht="36.75" thickBot="1" x14ac:dyDescent="0.3">
      <c r="E96" s="54">
        <f>E94+1</f>
        <v>37</v>
      </c>
      <c r="F96" s="55" t="s">
        <v>100</v>
      </c>
      <c r="G96" s="56">
        <v>3132</v>
      </c>
      <c r="H96" s="57">
        <f t="shared" ref="H96:H126" si="57">SUM(I96:T96)</f>
        <v>80000</v>
      </c>
      <c r="I96" s="59"/>
      <c r="J96" s="59"/>
      <c r="K96" s="58">
        <v>80000</v>
      </c>
      <c r="L96" s="59"/>
      <c r="M96" s="59"/>
      <c r="N96" s="59"/>
      <c r="O96" s="59"/>
      <c r="P96" s="59"/>
      <c r="Q96" s="59"/>
      <c r="R96" s="59"/>
      <c r="S96" s="59"/>
      <c r="T96" s="229"/>
      <c r="U96" s="39">
        <f t="shared" si="43"/>
        <v>80000</v>
      </c>
      <c r="V96" s="64"/>
      <c r="W96" s="64"/>
      <c r="X96" s="41">
        <f t="shared" ref="X96:X121" si="58">W96-V96</f>
        <v>0</v>
      </c>
      <c r="Y96" s="64"/>
      <c r="Z96" s="41">
        <f t="shared" ref="Z96:Z121" si="59">Y96-V96</f>
        <v>0</v>
      </c>
      <c r="AA96" s="42">
        <f t="shared" ref="AA96:AA122" si="60">Y96-U96</f>
        <v>-80000</v>
      </c>
      <c r="AB96" s="258"/>
      <c r="AC96" s="258"/>
    </row>
    <row r="97" spans="1:30" ht="36.75" thickBot="1" x14ac:dyDescent="0.3">
      <c r="E97" s="54">
        <f>E96+1</f>
        <v>38</v>
      </c>
      <c r="F97" s="179" t="s">
        <v>101</v>
      </c>
      <c r="G97" s="180">
        <v>3132</v>
      </c>
      <c r="H97" s="181">
        <f t="shared" si="57"/>
        <v>220000</v>
      </c>
      <c r="I97" s="183"/>
      <c r="J97" s="183"/>
      <c r="K97" s="182">
        <v>220000</v>
      </c>
      <c r="L97" s="183"/>
      <c r="M97" s="183"/>
      <c r="N97" s="183"/>
      <c r="O97" s="183"/>
      <c r="P97" s="183"/>
      <c r="Q97" s="183"/>
      <c r="R97" s="183"/>
      <c r="S97" s="183"/>
      <c r="T97" s="229"/>
      <c r="U97" s="39">
        <f t="shared" si="43"/>
        <v>220000</v>
      </c>
      <c r="V97" s="125"/>
      <c r="W97" s="125"/>
      <c r="X97" s="41">
        <f t="shared" si="58"/>
        <v>0</v>
      </c>
      <c r="Y97" s="125"/>
      <c r="Z97" s="41">
        <f t="shared" si="59"/>
        <v>0</v>
      </c>
      <c r="AA97" s="42">
        <f t="shared" si="60"/>
        <v>-220000</v>
      </c>
      <c r="AB97" s="258"/>
      <c r="AC97" s="258"/>
    </row>
    <row r="98" spans="1:30" ht="48.75" thickBot="1" x14ac:dyDescent="0.3">
      <c r="A98" t="s">
        <v>341</v>
      </c>
      <c r="B98" s="102">
        <v>44512</v>
      </c>
      <c r="D98" t="s">
        <v>342</v>
      </c>
      <c r="E98" s="54">
        <f t="shared" ref="E98:E99" si="61">E97+1</f>
        <v>39</v>
      </c>
      <c r="F98" s="179" t="s">
        <v>102</v>
      </c>
      <c r="G98" s="180">
        <v>3132</v>
      </c>
      <c r="H98" s="181">
        <f t="shared" si="57"/>
        <v>760000</v>
      </c>
      <c r="I98" s="183"/>
      <c r="J98" s="182">
        <v>760000</v>
      </c>
      <c r="K98" s="183"/>
      <c r="L98" s="183"/>
      <c r="M98" s="183"/>
      <c r="N98" s="183"/>
      <c r="O98" s="183"/>
      <c r="P98" s="183"/>
      <c r="Q98" s="183"/>
      <c r="R98" s="183"/>
      <c r="S98" s="183"/>
      <c r="T98" s="229"/>
      <c r="U98" s="39">
        <f t="shared" si="43"/>
        <v>760000</v>
      </c>
      <c r="V98" s="125"/>
      <c r="W98" s="125"/>
      <c r="X98" s="41">
        <f t="shared" si="58"/>
        <v>0</v>
      </c>
      <c r="Y98" s="125">
        <f>199248+2916.57+369969.3+91628.01-199248-2916.57-369969.3-91628.01+410384.87+322786.44</f>
        <v>733171.31</v>
      </c>
      <c r="Z98" s="41">
        <f t="shared" si="59"/>
        <v>733171.31</v>
      </c>
      <c r="AA98" s="42">
        <f t="shared" si="60"/>
        <v>-26828.689999999944</v>
      </c>
      <c r="AB98" s="258"/>
      <c r="AC98" s="258">
        <f>322786.44+410384.87</f>
        <v>733171.31</v>
      </c>
      <c r="AD98" s="103">
        <f>H98-AC98</f>
        <v>26828.689999999944</v>
      </c>
    </row>
    <row r="99" spans="1:30" ht="36.75" thickBot="1" x14ac:dyDescent="0.3">
      <c r="D99" t="s">
        <v>237</v>
      </c>
      <c r="E99" s="54">
        <f t="shared" si="61"/>
        <v>40</v>
      </c>
      <c r="F99" s="179" t="s">
        <v>103</v>
      </c>
      <c r="G99" s="180">
        <v>3132</v>
      </c>
      <c r="H99" s="181">
        <f t="shared" si="57"/>
        <v>1270000</v>
      </c>
      <c r="I99" s="182">
        <v>630000</v>
      </c>
      <c r="J99" s="182">
        <v>640000</v>
      </c>
      <c r="K99" s="183"/>
      <c r="L99" s="183"/>
      <c r="M99" s="183"/>
      <c r="N99" s="183"/>
      <c r="O99" s="183"/>
      <c r="P99" s="183"/>
      <c r="Q99" s="183"/>
      <c r="R99" s="183"/>
      <c r="S99" s="183"/>
      <c r="T99" s="229"/>
      <c r="U99" s="39">
        <f t="shared" si="43"/>
        <v>1270000</v>
      </c>
      <c r="V99" s="125"/>
      <c r="W99" s="125"/>
      <c r="X99" s="41">
        <f t="shared" si="58"/>
        <v>0</v>
      </c>
      <c r="Y99" s="125">
        <f>616807.2+7991.74</f>
        <v>624798.93999999994</v>
      </c>
      <c r="Z99" s="41">
        <f t="shared" si="59"/>
        <v>624798.93999999994</v>
      </c>
      <c r="AA99" s="42">
        <f t="shared" si="60"/>
        <v>-645201.06000000006</v>
      </c>
      <c r="AB99" s="258"/>
      <c r="AC99" s="258"/>
      <c r="AD99">
        <f>17941-7233.01</f>
        <v>10707.99</v>
      </c>
    </row>
    <row r="100" spans="1:30" ht="23.25" thickBot="1" x14ac:dyDescent="0.3">
      <c r="E100" s="54"/>
      <c r="F100" s="185" t="s">
        <v>270</v>
      </c>
      <c r="G100" s="180"/>
      <c r="H100" s="181">
        <f t="shared" si="57"/>
        <v>640000</v>
      </c>
      <c r="I100" s="188"/>
      <c r="J100" s="189">
        <v>640000</v>
      </c>
      <c r="K100" s="188"/>
      <c r="L100" s="188"/>
      <c r="M100" s="188"/>
      <c r="N100" s="188"/>
      <c r="O100" s="188"/>
      <c r="P100" s="188"/>
      <c r="Q100" s="188"/>
      <c r="R100" s="188"/>
      <c r="S100" s="188"/>
      <c r="T100" s="230"/>
      <c r="U100" s="39">
        <f t="shared" si="43"/>
        <v>640000</v>
      </c>
      <c r="V100" s="125"/>
      <c r="W100" s="125"/>
      <c r="X100" s="41"/>
      <c r="Y100" s="125"/>
      <c r="Z100" s="41"/>
      <c r="AA100" s="42"/>
      <c r="AB100" s="258"/>
      <c r="AC100" s="258"/>
      <c r="AD100">
        <f>AD99*0.95</f>
        <v>10172.590499999998</v>
      </c>
    </row>
    <row r="101" spans="1:30" ht="36.75" thickBot="1" x14ac:dyDescent="0.3">
      <c r="E101" s="54">
        <f>E99+1</f>
        <v>41</v>
      </c>
      <c r="F101" s="179" t="s">
        <v>104</v>
      </c>
      <c r="G101" s="180">
        <v>3132</v>
      </c>
      <c r="H101" s="181">
        <f t="shared" si="57"/>
        <v>500000</v>
      </c>
      <c r="I101" s="183"/>
      <c r="J101" s="183"/>
      <c r="K101" s="183"/>
      <c r="L101" s="183"/>
      <c r="M101" s="182">
        <v>500000</v>
      </c>
      <c r="N101" s="183"/>
      <c r="O101" s="183"/>
      <c r="P101" s="183"/>
      <c r="Q101" s="183"/>
      <c r="R101" s="183"/>
      <c r="S101" s="183"/>
      <c r="T101" s="229"/>
      <c r="U101" s="39">
        <f t="shared" si="43"/>
        <v>500000</v>
      </c>
      <c r="V101" s="125"/>
      <c r="W101" s="125"/>
      <c r="X101" s="41">
        <f t="shared" si="58"/>
        <v>0</v>
      </c>
      <c r="Y101" s="125"/>
      <c r="Z101" s="41">
        <f t="shared" si="59"/>
        <v>0</v>
      </c>
      <c r="AA101" s="42">
        <f t="shared" si="60"/>
        <v>-500000</v>
      </c>
      <c r="AB101" s="258"/>
      <c r="AC101" s="258"/>
    </row>
    <row r="102" spans="1:30" ht="36.75" thickBot="1" x14ac:dyDescent="0.3">
      <c r="A102" t="s">
        <v>235</v>
      </c>
      <c r="D102" t="s">
        <v>229</v>
      </c>
      <c r="E102" s="54">
        <f>E101+1</f>
        <v>42</v>
      </c>
      <c r="F102" s="55" t="s">
        <v>105</v>
      </c>
      <c r="G102" s="56">
        <v>3132</v>
      </c>
      <c r="H102" s="57">
        <f t="shared" si="57"/>
        <v>700000</v>
      </c>
      <c r="I102" s="59"/>
      <c r="J102" s="58">
        <v>700000</v>
      </c>
      <c r="K102" s="59"/>
      <c r="L102" s="59"/>
      <c r="M102" s="59"/>
      <c r="N102" s="59"/>
      <c r="O102" s="59"/>
      <c r="P102" s="59"/>
      <c r="Q102" s="59"/>
      <c r="R102" s="59"/>
      <c r="S102" s="59"/>
      <c r="T102" s="229"/>
      <c r="U102" s="39">
        <f t="shared" si="43"/>
        <v>700000</v>
      </c>
      <c r="V102" s="125">
        <f>669672+8734.09</f>
        <v>678406.09</v>
      </c>
      <c r="W102" s="125">
        <f>669672+8734.09</f>
        <v>678406.09</v>
      </c>
      <c r="X102" s="41">
        <f t="shared" si="58"/>
        <v>0</v>
      </c>
      <c r="Y102" s="125">
        <f>669672+8734.09</f>
        <v>678406.09</v>
      </c>
      <c r="Z102" s="41">
        <f t="shared" si="59"/>
        <v>0</v>
      </c>
      <c r="AA102" s="42">
        <f t="shared" si="60"/>
        <v>-21593.910000000033</v>
      </c>
      <c r="AB102" s="258"/>
      <c r="AC102" s="258"/>
    </row>
    <row r="103" spans="1:30" ht="36.75" thickBot="1" x14ac:dyDescent="0.3">
      <c r="E103" s="54">
        <f t="shared" ref="E103:E115" si="62">E102+1</f>
        <v>43</v>
      </c>
      <c r="F103" s="55" t="s">
        <v>106</v>
      </c>
      <c r="G103" s="56">
        <v>3132</v>
      </c>
      <c r="H103" s="57">
        <f t="shared" si="57"/>
        <v>450000</v>
      </c>
      <c r="I103" s="59"/>
      <c r="J103" s="59"/>
      <c r="K103" s="59"/>
      <c r="L103" s="58">
        <v>450000</v>
      </c>
      <c r="M103" s="59"/>
      <c r="N103" s="59"/>
      <c r="O103" s="59"/>
      <c r="P103" s="59"/>
      <c r="Q103" s="59"/>
      <c r="R103" s="59"/>
      <c r="S103" s="59"/>
      <c r="T103" s="229"/>
      <c r="U103" s="39">
        <f t="shared" si="43"/>
        <v>450000</v>
      </c>
      <c r="V103" s="125"/>
      <c r="W103" s="125"/>
      <c r="X103" s="41">
        <f t="shared" si="58"/>
        <v>0</v>
      </c>
      <c r="Y103" s="125"/>
      <c r="Z103" s="41">
        <f t="shared" si="59"/>
        <v>0</v>
      </c>
      <c r="AA103" s="42">
        <f t="shared" si="60"/>
        <v>-450000</v>
      </c>
      <c r="AB103" s="258"/>
      <c r="AC103" s="258"/>
    </row>
    <row r="104" spans="1:30" ht="48.75" thickBot="1" x14ac:dyDescent="0.3">
      <c r="A104" t="s">
        <v>213</v>
      </c>
      <c r="B104" s="120">
        <v>44587</v>
      </c>
      <c r="D104" t="s">
        <v>211</v>
      </c>
      <c r="E104" s="54">
        <f t="shared" si="62"/>
        <v>44</v>
      </c>
      <c r="F104" s="179" t="s">
        <v>107</v>
      </c>
      <c r="G104" s="180">
        <v>3132</v>
      </c>
      <c r="H104" s="181">
        <f t="shared" si="57"/>
        <v>1537000</v>
      </c>
      <c r="I104" s="182">
        <v>50000</v>
      </c>
      <c r="J104" s="183"/>
      <c r="K104" s="183"/>
      <c r="L104" s="182">
        <v>1487000</v>
      </c>
      <c r="M104" s="183"/>
      <c r="N104" s="183"/>
      <c r="O104" s="183"/>
      <c r="P104" s="183"/>
      <c r="Q104" s="183"/>
      <c r="R104" s="183"/>
      <c r="S104" s="183"/>
      <c r="T104" s="229"/>
      <c r="U104" s="39">
        <f t="shared" si="43"/>
        <v>1537000</v>
      </c>
      <c r="V104" s="125"/>
      <c r="W104" s="125"/>
      <c r="X104" s="41">
        <f t="shared" si="58"/>
        <v>0</v>
      </c>
      <c r="Y104" s="125"/>
      <c r="Z104" s="41">
        <f t="shared" si="59"/>
        <v>0</v>
      </c>
      <c r="AA104" s="42">
        <f t="shared" si="60"/>
        <v>-1537000</v>
      </c>
      <c r="AB104" s="258"/>
      <c r="AC104" s="258"/>
    </row>
    <row r="105" spans="1:30" ht="58.5" customHeight="1" thickBot="1" x14ac:dyDescent="0.3">
      <c r="B105" s="121"/>
      <c r="D105" s="118" t="s">
        <v>214</v>
      </c>
      <c r="E105" s="54">
        <f t="shared" si="62"/>
        <v>45</v>
      </c>
      <c r="F105" s="179" t="s">
        <v>108</v>
      </c>
      <c r="G105" s="180">
        <v>3132</v>
      </c>
      <c r="H105" s="181">
        <f t="shared" si="57"/>
        <v>207000</v>
      </c>
      <c r="I105" s="182">
        <v>207000</v>
      </c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  <c r="T105" s="229"/>
      <c r="U105" s="39">
        <f t="shared" si="43"/>
        <v>207000</v>
      </c>
      <c r="V105" s="126">
        <f>193836.23+2518.01-470.28</f>
        <v>195883.96000000002</v>
      </c>
      <c r="W105" s="126">
        <f>193836.23+2047.73</f>
        <v>195883.96000000002</v>
      </c>
      <c r="X105" s="41">
        <f t="shared" si="58"/>
        <v>0</v>
      </c>
      <c r="Y105" s="126">
        <f>193836.23+2047.73</f>
        <v>195883.96000000002</v>
      </c>
      <c r="Z105" s="41">
        <f t="shared" si="59"/>
        <v>0</v>
      </c>
      <c r="AA105" s="42">
        <f t="shared" si="60"/>
        <v>-11116.039999999979</v>
      </c>
      <c r="AB105" s="258"/>
      <c r="AC105" s="258"/>
    </row>
    <row r="106" spans="1:30" ht="48.75" thickBot="1" x14ac:dyDescent="0.3">
      <c r="A106" t="s">
        <v>221</v>
      </c>
      <c r="B106" s="120">
        <v>44592</v>
      </c>
      <c r="D106" t="s">
        <v>220</v>
      </c>
      <c r="E106" s="54">
        <f t="shared" si="62"/>
        <v>46</v>
      </c>
      <c r="F106" s="179" t="s">
        <v>109</v>
      </c>
      <c r="G106" s="180">
        <v>3132</v>
      </c>
      <c r="H106" s="181">
        <f t="shared" si="57"/>
        <v>397000</v>
      </c>
      <c r="I106" s="182">
        <v>397000</v>
      </c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229"/>
      <c r="U106" s="39">
        <f t="shared" si="43"/>
        <v>397000</v>
      </c>
      <c r="V106" s="125">
        <f>307179.6+4022.88</f>
        <v>311202.48</v>
      </c>
      <c r="W106" s="125">
        <f>307179.6+4022.88</f>
        <v>311202.48</v>
      </c>
      <c r="X106" s="41">
        <f t="shared" si="58"/>
        <v>0</v>
      </c>
      <c r="Y106" s="125">
        <f>307179.6+4022.88</f>
        <v>311202.48</v>
      </c>
      <c r="Z106" s="41">
        <f t="shared" si="59"/>
        <v>0</v>
      </c>
      <c r="AA106" s="42">
        <f t="shared" si="60"/>
        <v>-85797.520000000019</v>
      </c>
      <c r="AB106" s="258"/>
      <c r="AC106" s="258"/>
    </row>
    <row r="107" spans="1:30" ht="36.75" thickBot="1" x14ac:dyDescent="0.3">
      <c r="D107" t="s">
        <v>220</v>
      </c>
      <c r="E107" s="54">
        <f t="shared" si="62"/>
        <v>47</v>
      </c>
      <c r="F107" s="179" t="s">
        <v>110</v>
      </c>
      <c r="G107" s="180">
        <v>3132</v>
      </c>
      <c r="H107" s="181">
        <f t="shared" si="57"/>
        <v>555000</v>
      </c>
      <c r="I107" s="183"/>
      <c r="J107" s="183"/>
      <c r="K107" s="182">
        <v>555000</v>
      </c>
      <c r="L107" s="183"/>
      <c r="M107" s="183"/>
      <c r="N107" s="183"/>
      <c r="O107" s="183"/>
      <c r="P107" s="183"/>
      <c r="Q107" s="183"/>
      <c r="R107" s="183"/>
      <c r="S107" s="183"/>
      <c r="T107" s="229"/>
      <c r="U107" s="39">
        <f t="shared" si="43"/>
        <v>555000</v>
      </c>
      <c r="V107" s="125"/>
      <c r="W107" s="125"/>
      <c r="X107" s="41">
        <f t="shared" si="58"/>
        <v>0</v>
      </c>
      <c r="Y107" s="125">
        <f>204290.4+2618.74</f>
        <v>206909.13999999998</v>
      </c>
      <c r="Z107" s="41">
        <f t="shared" si="59"/>
        <v>206909.13999999998</v>
      </c>
      <c r="AA107" s="42">
        <f t="shared" si="60"/>
        <v>-348090.86</v>
      </c>
      <c r="AB107" s="258"/>
      <c r="AC107" s="258"/>
    </row>
    <row r="108" spans="1:30" ht="36.75" thickBot="1" x14ac:dyDescent="0.3">
      <c r="E108" s="54">
        <f t="shared" si="62"/>
        <v>48</v>
      </c>
      <c r="F108" s="179" t="s">
        <v>111</v>
      </c>
      <c r="G108" s="180">
        <v>3132</v>
      </c>
      <c r="H108" s="181">
        <f t="shared" si="57"/>
        <v>889500</v>
      </c>
      <c r="I108" s="183"/>
      <c r="J108" s="182">
        <v>489000</v>
      </c>
      <c r="K108" s="182">
        <v>400500</v>
      </c>
      <c r="L108" s="183"/>
      <c r="M108" s="183"/>
      <c r="N108" s="183"/>
      <c r="O108" s="183"/>
      <c r="P108" s="183"/>
      <c r="Q108" s="183"/>
      <c r="R108" s="183"/>
      <c r="S108" s="183"/>
      <c r="T108" s="229"/>
      <c r="U108" s="39">
        <f t="shared" si="43"/>
        <v>889500</v>
      </c>
      <c r="V108" s="125"/>
      <c r="W108" s="125"/>
      <c r="X108" s="41">
        <f t="shared" si="58"/>
        <v>0</v>
      </c>
      <c r="Y108" s="125"/>
      <c r="Z108" s="41">
        <f t="shared" si="59"/>
        <v>0</v>
      </c>
      <c r="AA108" s="42">
        <f t="shared" si="60"/>
        <v>-889500</v>
      </c>
      <c r="AB108" s="258"/>
      <c r="AC108" s="258"/>
    </row>
    <row r="109" spans="1:30" ht="36.75" thickBot="1" x14ac:dyDescent="0.3">
      <c r="E109" s="54">
        <f t="shared" si="62"/>
        <v>49</v>
      </c>
      <c r="F109" s="179" t="s">
        <v>112</v>
      </c>
      <c r="G109" s="180">
        <v>3132</v>
      </c>
      <c r="H109" s="181">
        <f t="shared" si="57"/>
        <v>297886</v>
      </c>
      <c r="I109" s="183"/>
      <c r="J109" s="183"/>
      <c r="K109" s="183"/>
      <c r="L109" s="182">
        <v>100000</v>
      </c>
      <c r="M109" s="182">
        <v>197886</v>
      </c>
      <c r="N109" s="183"/>
      <c r="O109" s="183"/>
      <c r="P109" s="183"/>
      <c r="Q109" s="183"/>
      <c r="R109" s="183"/>
      <c r="S109" s="183"/>
      <c r="T109" s="229"/>
      <c r="U109" s="39">
        <f t="shared" si="43"/>
        <v>297886</v>
      </c>
      <c r="V109" s="125"/>
      <c r="W109" s="125"/>
      <c r="X109" s="41">
        <f t="shared" si="58"/>
        <v>0</v>
      </c>
      <c r="Y109" s="125"/>
      <c r="Z109" s="41">
        <f t="shared" si="59"/>
        <v>0</v>
      </c>
      <c r="AA109" s="42">
        <f t="shared" si="60"/>
        <v>-297886</v>
      </c>
      <c r="AB109" s="258"/>
      <c r="AC109" s="258"/>
    </row>
    <row r="110" spans="1:30" ht="48.75" thickBot="1" x14ac:dyDescent="0.3">
      <c r="E110" s="54">
        <f t="shared" si="62"/>
        <v>50</v>
      </c>
      <c r="F110" s="179" t="s">
        <v>113</v>
      </c>
      <c r="G110" s="180">
        <v>3132</v>
      </c>
      <c r="H110" s="181">
        <f t="shared" si="57"/>
        <v>500000</v>
      </c>
      <c r="I110" s="183"/>
      <c r="J110" s="183"/>
      <c r="K110" s="182">
        <v>50000</v>
      </c>
      <c r="L110" s="183"/>
      <c r="M110" s="183"/>
      <c r="N110" s="183"/>
      <c r="O110" s="183"/>
      <c r="P110" s="182">
        <v>450000</v>
      </c>
      <c r="Q110" s="183"/>
      <c r="R110" s="183"/>
      <c r="S110" s="183"/>
      <c r="T110" s="229"/>
      <c r="U110" s="39">
        <f t="shared" si="43"/>
        <v>50000</v>
      </c>
      <c r="V110" s="125"/>
      <c r="W110" s="125"/>
      <c r="X110" s="41">
        <f t="shared" si="58"/>
        <v>0</v>
      </c>
      <c r="Y110" s="125"/>
      <c r="Z110" s="41">
        <f t="shared" si="59"/>
        <v>0</v>
      </c>
      <c r="AA110" s="42">
        <f t="shared" si="60"/>
        <v>-50000</v>
      </c>
      <c r="AB110" s="258"/>
      <c r="AC110" s="258"/>
    </row>
    <row r="111" spans="1:30" ht="48.75" thickBot="1" x14ac:dyDescent="0.3">
      <c r="E111" s="54">
        <f t="shared" si="62"/>
        <v>51</v>
      </c>
      <c r="F111" s="179" t="s">
        <v>114</v>
      </c>
      <c r="G111" s="180">
        <v>3132</v>
      </c>
      <c r="H111" s="181">
        <f t="shared" si="57"/>
        <v>500000</v>
      </c>
      <c r="I111" s="183"/>
      <c r="J111" s="183"/>
      <c r="K111" s="182">
        <v>50000</v>
      </c>
      <c r="L111" s="183"/>
      <c r="M111" s="183"/>
      <c r="N111" s="183"/>
      <c r="O111" s="183"/>
      <c r="P111" s="183"/>
      <c r="Q111" s="183"/>
      <c r="R111" s="182">
        <v>450000</v>
      </c>
      <c r="S111" s="183"/>
      <c r="T111" s="229"/>
      <c r="U111" s="39">
        <f t="shared" si="43"/>
        <v>50000</v>
      </c>
      <c r="V111" s="125"/>
      <c r="W111" s="125"/>
      <c r="X111" s="41">
        <f t="shared" si="58"/>
        <v>0</v>
      </c>
      <c r="Y111" s="125"/>
      <c r="Z111" s="41">
        <f t="shared" si="59"/>
        <v>0</v>
      </c>
      <c r="AA111" s="42">
        <f t="shared" si="60"/>
        <v>-50000</v>
      </c>
      <c r="AB111" s="258"/>
      <c r="AC111" s="258"/>
    </row>
    <row r="112" spans="1:30" ht="48.75" thickBot="1" x14ac:dyDescent="0.3">
      <c r="E112" s="54">
        <f t="shared" si="62"/>
        <v>52</v>
      </c>
      <c r="F112" s="179" t="s">
        <v>115</v>
      </c>
      <c r="G112" s="180">
        <v>3132</v>
      </c>
      <c r="H112" s="181">
        <f t="shared" si="57"/>
        <v>500000</v>
      </c>
      <c r="I112" s="183"/>
      <c r="J112" s="183"/>
      <c r="K112" s="182">
        <v>50000</v>
      </c>
      <c r="L112" s="183"/>
      <c r="M112" s="183"/>
      <c r="N112" s="183"/>
      <c r="O112" s="183"/>
      <c r="P112" s="183"/>
      <c r="Q112" s="183"/>
      <c r="R112" s="182">
        <v>450000</v>
      </c>
      <c r="S112" s="183"/>
      <c r="T112" s="229"/>
      <c r="U112" s="39">
        <f t="shared" si="43"/>
        <v>50000</v>
      </c>
      <c r="V112" s="125"/>
      <c r="W112" s="125"/>
      <c r="X112" s="41">
        <f t="shared" si="58"/>
        <v>0</v>
      </c>
      <c r="Y112" s="125"/>
      <c r="Z112" s="41">
        <f t="shared" si="59"/>
        <v>0</v>
      </c>
      <c r="AA112" s="42">
        <f t="shared" si="60"/>
        <v>-50000</v>
      </c>
      <c r="AB112" s="258"/>
      <c r="AC112" s="258"/>
    </row>
    <row r="113" spans="1:30" ht="34.5" thickBot="1" x14ac:dyDescent="0.3">
      <c r="E113" s="54">
        <f t="shared" si="62"/>
        <v>53</v>
      </c>
      <c r="F113" s="184" t="s">
        <v>273</v>
      </c>
      <c r="G113" s="180">
        <v>3132</v>
      </c>
      <c r="H113" s="181">
        <f t="shared" si="57"/>
        <v>200000</v>
      </c>
      <c r="I113" s="183"/>
      <c r="J113" s="183"/>
      <c r="K113" s="182">
        <v>15000</v>
      </c>
      <c r="L113" s="183"/>
      <c r="M113" s="183"/>
      <c r="N113" s="183"/>
      <c r="O113" s="182">
        <v>185000</v>
      </c>
      <c r="P113" s="183"/>
      <c r="Q113" s="183"/>
      <c r="R113" s="183"/>
      <c r="S113" s="183"/>
      <c r="T113" s="229"/>
      <c r="U113" s="39">
        <f t="shared" si="43"/>
        <v>200000</v>
      </c>
      <c r="V113" s="125"/>
      <c r="W113" s="125"/>
      <c r="X113" s="41">
        <f t="shared" si="58"/>
        <v>0</v>
      </c>
      <c r="Y113" s="125"/>
      <c r="Z113" s="41">
        <f t="shared" si="59"/>
        <v>0</v>
      </c>
      <c r="AA113" s="42">
        <f t="shared" si="60"/>
        <v>-200000</v>
      </c>
      <c r="AB113" s="258"/>
      <c r="AC113" s="258"/>
    </row>
    <row r="114" spans="1:30" ht="36.75" thickBot="1" x14ac:dyDescent="0.3">
      <c r="A114" t="s">
        <v>257</v>
      </c>
      <c r="D114" t="s">
        <v>256</v>
      </c>
      <c r="E114" s="54">
        <f t="shared" si="62"/>
        <v>54</v>
      </c>
      <c r="F114" s="179" t="s">
        <v>116</v>
      </c>
      <c r="G114" s="180">
        <v>3132</v>
      </c>
      <c r="H114" s="181">
        <f t="shared" si="57"/>
        <v>250000</v>
      </c>
      <c r="I114" s="183"/>
      <c r="J114" s="183"/>
      <c r="K114" s="182">
        <v>18000</v>
      </c>
      <c r="L114" s="183"/>
      <c r="M114" s="183"/>
      <c r="N114" s="183"/>
      <c r="O114" s="182">
        <v>232000</v>
      </c>
      <c r="P114" s="183"/>
      <c r="Q114" s="183"/>
      <c r="R114" s="183"/>
      <c r="S114" s="183"/>
      <c r="T114" s="229"/>
      <c r="U114" s="39">
        <f t="shared" si="43"/>
        <v>250000</v>
      </c>
      <c r="V114" s="125"/>
      <c r="W114" s="125"/>
      <c r="X114" s="41">
        <f t="shared" si="58"/>
        <v>0</v>
      </c>
      <c r="Y114" s="125"/>
      <c r="Z114" s="41">
        <f t="shared" si="59"/>
        <v>0</v>
      </c>
      <c r="AA114" s="42">
        <f t="shared" si="60"/>
        <v>-250000</v>
      </c>
      <c r="AB114" s="258"/>
      <c r="AC114" s="258"/>
    </row>
    <row r="115" spans="1:30" ht="36.75" thickBot="1" x14ac:dyDescent="0.3">
      <c r="A115" t="s">
        <v>230</v>
      </c>
      <c r="D115" t="s">
        <v>229</v>
      </c>
      <c r="E115" s="54">
        <f t="shared" si="62"/>
        <v>55</v>
      </c>
      <c r="F115" s="179" t="s">
        <v>117</v>
      </c>
      <c r="G115" s="180">
        <v>3132</v>
      </c>
      <c r="H115" s="181">
        <f t="shared" si="57"/>
        <v>347000</v>
      </c>
      <c r="I115" s="183"/>
      <c r="J115" s="182">
        <v>347000</v>
      </c>
      <c r="K115" s="183"/>
      <c r="L115" s="183"/>
      <c r="M115" s="183"/>
      <c r="N115" s="183"/>
      <c r="O115" s="183"/>
      <c r="P115" s="183"/>
      <c r="Q115" s="183"/>
      <c r="R115" s="183"/>
      <c r="S115" s="183"/>
      <c r="T115" s="229"/>
      <c r="U115" s="39">
        <f t="shared" si="43"/>
        <v>347000</v>
      </c>
      <c r="V115" s="125">
        <f>54087.6+697.16+0.45</f>
        <v>54785.21</v>
      </c>
      <c r="W115" s="125">
        <f>54087.6+697.61</f>
        <v>54785.21</v>
      </c>
      <c r="X115" s="41">
        <f t="shared" si="58"/>
        <v>0</v>
      </c>
      <c r="Y115" s="125">
        <f>54087.6+697.61</f>
        <v>54785.21</v>
      </c>
      <c r="Z115" s="41">
        <f t="shared" si="59"/>
        <v>0</v>
      </c>
      <c r="AA115" s="42">
        <f t="shared" si="60"/>
        <v>-292214.78999999998</v>
      </c>
      <c r="AB115" s="258"/>
      <c r="AC115" s="258"/>
    </row>
    <row r="116" spans="1:30" ht="23.25" thickBot="1" x14ac:dyDescent="0.3">
      <c r="E116" s="54"/>
      <c r="F116" s="185" t="s">
        <v>270</v>
      </c>
      <c r="G116" s="186"/>
      <c r="H116" s="187"/>
      <c r="I116" s="188"/>
      <c r="J116" s="189">
        <v>49000</v>
      </c>
      <c r="K116" s="183"/>
      <c r="L116" s="183"/>
      <c r="M116" s="183"/>
      <c r="N116" s="183"/>
      <c r="O116" s="183"/>
      <c r="P116" s="183"/>
      <c r="Q116" s="183"/>
      <c r="R116" s="183"/>
      <c r="S116" s="183"/>
      <c r="T116" s="229"/>
      <c r="U116" s="39">
        <f t="shared" si="43"/>
        <v>49000</v>
      </c>
      <c r="V116" s="125"/>
      <c r="W116" s="125"/>
      <c r="X116" s="41"/>
      <c r="Y116" s="125"/>
      <c r="Z116" s="41"/>
      <c r="AA116" s="42"/>
      <c r="AB116" s="258"/>
      <c r="AC116" s="258"/>
    </row>
    <row r="117" spans="1:30" ht="36.75" thickBot="1" x14ac:dyDescent="0.3">
      <c r="E117" s="54">
        <f>E115+1</f>
        <v>56</v>
      </c>
      <c r="F117" s="179" t="s">
        <v>118</v>
      </c>
      <c r="G117" s="180">
        <v>3132</v>
      </c>
      <c r="H117" s="181">
        <f t="shared" si="57"/>
        <v>500000</v>
      </c>
      <c r="I117" s="183"/>
      <c r="J117" s="183"/>
      <c r="K117" s="182">
        <v>50000</v>
      </c>
      <c r="L117" s="183"/>
      <c r="M117" s="183"/>
      <c r="N117" s="183"/>
      <c r="O117" s="183"/>
      <c r="P117" s="182">
        <v>400000</v>
      </c>
      <c r="Q117" s="182">
        <v>50000</v>
      </c>
      <c r="R117" s="183"/>
      <c r="S117" s="183"/>
      <c r="T117" s="229"/>
      <c r="U117" s="39">
        <f t="shared" si="43"/>
        <v>50000</v>
      </c>
      <c r="V117" s="125"/>
      <c r="W117" s="125"/>
      <c r="X117" s="41">
        <f t="shared" si="58"/>
        <v>0</v>
      </c>
      <c r="Y117" s="125"/>
      <c r="Z117" s="41">
        <f t="shared" si="59"/>
        <v>0</v>
      </c>
      <c r="AA117" s="42">
        <f t="shared" si="60"/>
        <v>-50000</v>
      </c>
      <c r="AB117" s="258"/>
      <c r="AC117" s="258"/>
    </row>
    <row r="118" spans="1:30" ht="48.75" thickBot="1" x14ac:dyDescent="0.3">
      <c r="E118" s="54">
        <f>E117+1</f>
        <v>57</v>
      </c>
      <c r="F118" s="179" t="s">
        <v>119</v>
      </c>
      <c r="G118" s="180">
        <v>3132</v>
      </c>
      <c r="H118" s="181">
        <f t="shared" si="57"/>
        <v>150000</v>
      </c>
      <c r="I118" s="183"/>
      <c r="J118" s="183"/>
      <c r="K118" s="182">
        <v>18000</v>
      </c>
      <c r="L118" s="183"/>
      <c r="M118" s="183"/>
      <c r="N118" s="183"/>
      <c r="O118" s="183"/>
      <c r="P118" s="183"/>
      <c r="Q118" s="183"/>
      <c r="R118" s="182">
        <v>132000</v>
      </c>
      <c r="S118" s="183"/>
      <c r="T118" s="229"/>
      <c r="U118" s="39">
        <f t="shared" si="43"/>
        <v>18000</v>
      </c>
      <c r="V118" s="125"/>
      <c r="W118" s="125"/>
      <c r="X118" s="41">
        <f t="shared" si="58"/>
        <v>0</v>
      </c>
      <c r="Y118" s="125"/>
      <c r="Z118" s="41">
        <f t="shared" si="59"/>
        <v>0</v>
      </c>
      <c r="AA118" s="42">
        <f t="shared" si="60"/>
        <v>-18000</v>
      </c>
      <c r="AB118" s="258"/>
      <c r="AC118" s="258"/>
    </row>
    <row r="119" spans="1:30" ht="36.75" thickBot="1" x14ac:dyDescent="0.3">
      <c r="E119" s="54">
        <f t="shared" ref="E119:E122" si="63">E118+1</f>
        <v>58</v>
      </c>
      <c r="F119" s="190" t="s">
        <v>120</v>
      </c>
      <c r="G119" s="180">
        <v>3132</v>
      </c>
      <c r="H119" s="181">
        <f t="shared" si="57"/>
        <v>350000</v>
      </c>
      <c r="I119" s="183"/>
      <c r="J119" s="183"/>
      <c r="K119" s="182">
        <v>20000</v>
      </c>
      <c r="L119" s="182">
        <v>330000</v>
      </c>
      <c r="M119" s="183"/>
      <c r="N119" s="183"/>
      <c r="O119" s="183"/>
      <c r="P119" s="183"/>
      <c r="Q119" s="183"/>
      <c r="R119" s="183"/>
      <c r="S119" s="183"/>
      <c r="T119" s="229"/>
      <c r="U119" s="39">
        <f t="shared" si="43"/>
        <v>350000</v>
      </c>
      <c r="V119" s="125"/>
      <c r="W119" s="125"/>
      <c r="X119" s="41">
        <f t="shared" si="58"/>
        <v>0</v>
      </c>
      <c r="Y119" s="125"/>
      <c r="Z119" s="41">
        <f t="shared" si="59"/>
        <v>0</v>
      </c>
      <c r="AA119" s="42">
        <f t="shared" si="60"/>
        <v>-350000</v>
      </c>
      <c r="AB119" s="258"/>
      <c r="AC119" s="258"/>
    </row>
    <row r="120" spans="1:30" ht="36.75" thickBot="1" x14ac:dyDescent="0.3">
      <c r="E120" s="54">
        <f t="shared" si="63"/>
        <v>59</v>
      </c>
      <c r="F120" s="190" t="s">
        <v>121</v>
      </c>
      <c r="G120" s="180">
        <v>3132</v>
      </c>
      <c r="H120" s="181">
        <f t="shared" si="57"/>
        <v>0</v>
      </c>
      <c r="I120" s="183"/>
      <c r="J120" s="183"/>
      <c r="K120" s="183"/>
      <c r="L120" s="183"/>
      <c r="M120" s="183"/>
      <c r="N120" s="183"/>
      <c r="O120" s="183"/>
      <c r="P120" s="183"/>
      <c r="Q120" s="183"/>
      <c r="R120" s="183"/>
      <c r="S120" s="183"/>
      <c r="T120" s="229"/>
      <c r="U120" s="39">
        <f t="shared" si="43"/>
        <v>0</v>
      </c>
      <c r="V120" s="125"/>
      <c r="W120" s="125"/>
      <c r="X120" s="41">
        <f t="shared" si="58"/>
        <v>0</v>
      </c>
      <c r="Y120" s="125"/>
      <c r="Z120" s="41">
        <f t="shared" si="59"/>
        <v>0</v>
      </c>
      <c r="AA120" s="42">
        <f t="shared" si="60"/>
        <v>0</v>
      </c>
      <c r="AB120" s="258"/>
      <c r="AC120" s="258"/>
    </row>
    <row r="121" spans="1:30" ht="36.75" thickBot="1" x14ac:dyDescent="0.3">
      <c r="E121" s="54">
        <f t="shared" si="63"/>
        <v>60</v>
      </c>
      <c r="F121" s="190" t="s">
        <v>122</v>
      </c>
      <c r="G121" s="180">
        <v>3132</v>
      </c>
      <c r="H121" s="181">
        <f t="shared" si="57"/>
        <v>400000</v>
      </c>
      <c r="I121" s="182">
        <v>18000</v>
      </c>
      <c r="J121" s="183"/>
      <c r="K121" s="182">
        <v>28000</v>
      </c>
      <c r="L121" s="183"/>
      <c r="M121" s="183"/>
      <c r="N121" s="183"/>
      <c r="O121" s="183"/>
      <c r="P121" s="183"/>
      <c r="Q121" s="183"/>
      <c r="R121" s="182">
        <v>354000</v>
      </c>
      <c r="S121" s="183"/>
      <c r="T121" s="229"/>
      <c r="U121" s="39">
        <f t="shared" si="43"/>
        <v>46000</v>
      </c>
      <c r="V121" s="125"/>
      <c r="W121" s="125"/>
      <c r="X121" s="41">
        <f t="shared" si="58"/>
        <v>0</v>
      </c>
      <c r="Y121" s="125"/>
      <c r="Z121" s="41">
        <f t="shared" si="59"/>
        <v>0</v>
      </c>
      <c r="AA121" s="42">
        <f t="shared" si="60"/>
        <v>-46000</v>
      </c>
      <c r="AB121" s="258"/>
      <c r="AC121" s="258"/>
    </row>
    <row r="122" spans="1:30" ht="34.5" thickBot="1" x14ac:dyDescent="0.3">
      <c r="E122" s="54">
        <f t="shared" si="63"/>
        <v>61</v>
      </c>
      <c r="F122" s="191" t="s">
        <v>274</v>
      </c>
      <c r="G122" s="180">
        <v>3132</v>
      </c>
      <c r="H122" s="181">
        <v>150000</v>
      </c>
      <c r="I122" s="182">
        <v>25000</v>
      </c>
      <c r="J122" s="183"/>
      <c r="K122" s="183"/>
      <c r="L122" s="183"/>
      <c r="M122" s="183"/>
      <c r="N122" s="183"/>
      <c r="O122" s="183"/>
      <c r="P122" s="183"/>
      <c r="Q122" s="183"/>
      <c r="R122" s="182">
        <v>125000</v>
      </c>
      <c r="S122" s="183"/>
      <c r="T122" s="229"/>
      <c r="U122" s="39">
        <f t="shared" ref="U122:U170" si="64">I122+J122+K122+L122+M122+N122+O122</f>
        <v>25000</v>
      </c>
      <c r="V122" s="125"/>
      <c r="W122" s="125"/>
      <c r="X122" s="41"/>
      <c r="Y122" s="125"/>
      <c r="Z122" s="41"/>
      <c r="AA122" s="42">
        <f t="shared" si="60"/>
        <v>-25000</v>
      </c>
      <c r="AB122" s="258"/>
      <c r="AC122" s="258"/>
    </row>
    <row r="123" spans="1:30" ht="15.75" thickBot="1" x14ac:dyDescent="0.3">
      <c r="E123" s="478" t="s">
        <v>123</v>
      </c>
      <c r="F123" s="479"/>
      <c r="G123" s="479"/>
      <c r="H123" s="53">
        <f>SUM(H124:H127)</f>
        <v>1097717</v>
      </c>
      <c r="I123" s="53">
        <f>SUM(I124:I127)</f>
        <v>71707</v>
      </c>
      <c r="J123" s="53">
        <f t="shared" ref="J123:AA123" si="65">SUM(J124:J127)</f>
        <v>0</v>
      </c>
      <c r="K123" s="53">
        <f t="shared" si="65"/>
        <v>70000</v>
      </c>
      <c r="L123" s="53">
        <f t="shared" si="65"/>
        <v>30000</v>
      </c>
      <c r="M123" s="53">
        <f t="shared" si="65"/>
        <v>821010</v>
      </c>
      <c r="N123" s="53">
        <f t="shared" si="65"/>
        <v>0</v>
      </c>
      <c r="O123" s="53">
        <f t="shared" si="65"/>
        <v>0</v>
      </c>
      <c r="P123" s="53">
        <f t="shared" si="65"/>
        <v>0</v>
      </c>
      <c r="Q123" s="53">
        <f t="shared" si="65"/>
        <v>0</v>
      </c>
      <c r="R123" s="53">
        <f t="shared" si="65"/>
        <v>105000</v>
      </c>
      <c r="S123" s="53">
        <f t="shared" si="65"/>
        <v>0</v>
      </c>
      <c r="T123" s="226">
        <f t="shared" si="65"/>
        <v>0</v>
      </c>
      <c r="U123" s="39">
        <f t="shared" si="64"/>
        <v>992717</v>
      </c>
      <c r="V123" s="53">
        <f t="shared" si="65"/>
        <v>0</v>
      </c>
      <c r="W123" s="53">
        <f t="shared" si="65"/>
        <v>0</v>
      </c>
      <c r="X123" s="53">
        <f t="shared" si="65"/>
        <v>0</v>
      </c>
      <c r="Y123" s="53">
        <f t="shared" si="65"/>
        <v>67889.149999999994</v>
      </c>
      <c r="Z123" s="53">
        <f t="shared" si="65"/>
        <v>67889.149999999994</v>
      </c>
      <c r="AA123" s="53">
        <f t="shared" si="65"/>
        <v>-924827.85</v>
      </c>
      <c r="AB123" s="263"/>
      <c r="AC123" s="263"/>
    </row>
    <row r="124" spans="1:30" ht="24.75" thickBot="1" x14ac:dyDescent="0.3">
      <c r="E124" s="54">
        <f>E122+1</f>
        <v>62</v>
      </c>
      <c r="F124" s="55" t="s">
        <v>124</v>
      </c>
      <c r="G124" s="63">
        <v>3132</v>
      </c>
      <c r="H124" s="57">
        <f t="shared" si="57"/>
        <v>30000</v>
      </c>
      <c r="I124" s="48"/>
      <c r="J124" s="48"/>
      <c r="K124" s="48"/>
      <c r="L124" s="61">
        <v>30000</v>
      </c>
      <c r="M124" s="48"/>
      <c r="N124" s="48"/>
      <c r="O124" s="48"/>
      <c r="P124" s="48"/>
      <c r="Q124" s="48"/>
      <c r="R124" s="48"/>
      <c r="S124" s="48"/>
      <c r="T124" s="231"/>
      <c r="U124" s="39">
        <f t="shared" si="64"/>
        <v>30000</v>
      </c>
      <c r="V124" s="64"/>
      <c r="W124" s="64"/>
      <c r="X124" s="41">
        <f t="shared" ref="X124:X127" si="66">W124-V124</f>
        <v>0</v>
      </c>
      <c r="Y124" s="64"/>
      <c r="Z124" s="41">
        <f t="shared" ref="Z124:Z127" si="67">Y124-V124</f>
        <v>0</v>
      </c>
      <c r="AA124" s="42">
        <f t="shared" ref="AA124:AA127" si="68">Y124-U124</f>
        <v>-30000</v>
      </c>
      <c r="AB124" s="258"/>
      <c r="AC124" s="258"/>
    </row>
    <row r="125" spans="1:30" ht="72.75" thickBot="1" x14ac:dyDescent="0.3">
      <c r="E125" s="54">
        <f>E124+1</f>
        <v>63</v>
      </c>
      <c r="F125" s="55" t="s">
        <v>125</v>
      </c>
      <c r="G125" s="56">
        <v>3132</v>
      </c>
      <c r="H125" s="57">
        <f t="shared" si="57"/>
        <v>125000</v>
      </c>
      <c r="I125" s="48"/>
      <c r="J125" s="48"/>
      <c r="K125" s="61">
        <v>20000</v>
      </c>
      <c r="L125" s="48"/>
      <c r="M125" s="48"/>
      <c r="N125" s="48"/>
      <c r="O125" s="48"/>
      <c r="P125" s="48"/>
      <c r="Q125" s="48"/>
      <c r="R125" s="61">
        <v>105000</v>
      </c>
      <c r="S125" s="48"/>
      <c r="T125" s="231"/>
      <c r="U125" s="39">
        <f t="shared" si="64"/>
        <v>20000</v>
      </c>
      <c r="V125" s="125"/>
      <c r="W125" s="125"/>
      <c r="X125" s="41">
        <f t="shared" si="66"/>
        <v>0</v>
      </c>
      <c r="Y125" s="125"/>
      <c r="Z125" s="41">
        <f t="shared" si="67"/>
        <v>0</v>
      </c>
      <c r="AA125" s="177">
        <f t="shared" si="68"/>
        <v>-20000</v>
      </c>
      <c r="AB125" s="264"/>
      <c r="AC125" s="264"/>
    </row>
    <row r="126" spans="1:30" ht="36.75" thickBot="1" x14ac:dyDescent="0.3">
      <c r="A126" t="s">
        <v>343</v>
      </c>
      <c r="C126">
        <v>67026</v>
      </c>
      <c r="D126" t="s">
        <v>228</v>
      </c>
      <c r="E126" s="54">
        <f t="shared" ref="E126:E127" si="69">E125+1</f>
        <v>64</v>
      </c>
      <c r="F126" s="55" t="s">
        <v>126</v>
      </c>
      <c r="G126" s="56">
        <v>3132</v>
      </c>
      <c r="H126" s="57">
        <f t="shared" si="57"/>
        <v>71707</v>
      </c>
      <c r="I126" s="61">
        <v>71707</v>
      </c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231"/>
      <c r="U126" s="39">
        <f t="shared" si="64"/>
        <v>71707</v>
      </c>
      <c r="V126" s="178">
        <f>65975+863.15-65975-863.15+9528.73-9528.73</f>
        <v>0</v>
      </c>
      <c r="W126" s="125"/>
      <c r="X126" s="41">
        <f t="shared" si="66"/>
        <v>0</v>
      </c>
      <c r="Y126" s="125">
        <f>67026+863.15</f>
        <v>67889.149999999994</v>
      </c>
      <c r="Z126" s="41">
        <f t="shared" si="67"/>
        <v>67889.149999999994</v>
      </c>
      <c r="AA126" s="177">
        <f t="shared" si="68"/>
        <v>-3817.8500000000058</v>
      </c>
      <c r="AB126" s="264"/>
      <c r="AC126" s="264"/>
      <c r="AD126">
        <f>67026+863.15</f>
        <v>67889.149999999994</v>
      </c>
    </row>
    <row r="127" spans="1:30" ht="36.75" thickBot="1" x14ac:dyDescent="0.3">
      <c r="E127" s="54">
        <f t="shared" si="69"/>
        <v>65</v>
      </c>
      <c r="F127" s="55" t="s">
        <v>127</v>
      </c>
      <c r="G127" s="56">
        <v>3132</v>
      </c>
      <c r="H127" s="57">
        <f>SUM(I127:T127)</f>
        <v>871010</v>
      </c>
      <c r="I127" s="48"/>
      <c r="J127" s="48"/>
      <c r="K127" s="61">
        <v>50000</v>
      </c>
      <c r="L127" s="48"/>
      <c r="M127" s="147">
        <v>821010</v>
      </c>
      <c r="N127" s="48"/>
      <c r="O127" s="48"/>
      <c r="P127" s="48"/>
      <c r="Q127" s="48"/>
      <c r="R127" s="48"/>
      <c r="S127" s="48"/>
      <c r="T127" s="231"/>
      <c r="U127" s="39">
        <f t="shared" si="64"/>
        <v>871010</v>
      </c>
      <c r="V127" s="125"/>
      <c r="W127" s="125"/>
      <c r="X127" s="41">
        <f t="shared" si="66"/>
        <v>0</v>
      </c>
      <c r="Y127" s="125"/>
      <c r="Z127" s="41">
        <f t="shared" si="67"/>
        <v>0</v>
      </c>
      <c r="AA127" s="177">
        <f t="shared" si="68"/>
        <v>-871010</v>
      </c>
      <c r="AB127" s="264"/>
      <c r="AC127" s="264"/>
    </row>
    <row r="128" spans="1:30" ht="15.75" thickBot="1" x14ac:dyDescent="0.3">
      <c r="E128" s="478" t="s">
        <v>128</v>
      </c>
      <c r="F128" s="479"/>
      <c r="G128" s="479"/>
      <c r="H128" s="53">
        <f>SUM(H129:H147)</f>
        <v>3509424</v>
      </c>
      <c r="I128" s="53">
        <f>SUM(I129:I147)</f>
        <v>144424</v>
      </c>
      <c r="J128" s="53">
        <f t="shared" ref="J128:AA128" si="70">SUM(J129:J147)</f>
        <v>20000</v>
      </c>
      <c r="K128" s="53">
        <f t="shared" si="70"/>
        <v>380000</v>
      </c>
      <c r="L128" s="53">
        <f t="shared" si="70"/>
        <v>0</v>
      </c>
      <c r="M128" s="53">
        <f t="shared" si="70"/>
        <v>500000</v>
      </c>
      <c r="N128" s="53">
        <f t="shared" si="70"/>
        <v>0</v>
      </c>
      <c r="O128" s="53">
        <f t="shared" si="70"/>
        <v>500000</v>
      </c>
      <c r="P128" s="53">
        <f t="shared" si="70"/>
        <v>450000</v>
      </c>
      <c r="Q128" s="53">
        <f t="shared" si="70"/>
        <v>225000</v>
      </c>
      <c r="R128" s="53">
        <f t="shared" si="70"/>
        <v>365000</v>
      </c>
      <c r="S128" s="53">
        <f t="shared" si="70"/>
        <v>273000</v>
      </c>
      <c r="T128" s="226">
        <f t="shared" si="70"/>
        <v>652000</v>
      </c>
      <c r="U128" s="39">
        <f t="shared" si="64"/>
        <v>1544424</v>
      </c>
      <c r="V128" s="53">
        <f t="shared" si="70"/>
        <v>141440</v>
      </c>
      <c r="W128" s="53">
        <f t="shared" si="70"/>
        <v>141440</v>
      </c>
      <c r="X128" s="53">
        <f t="shared" si="70"/>
        <v>0</v>
      </c>
      <c r="Y128" s="53">
        <f t="shared" si="70"/>
        <v>141440</v>
      </c>
      <c r="Z128" s="53">
        <f t="shared" si="70"/>
        <v>0</v>
      </c>
      <c r="AA128" s="53">
        <f t="shared" si="70"/>
        <v>-1402984</v>
      </c>
      <c r="AB128" s="263"/>
      <c r="AC128" s="263"/>
    </row>
    <row r="129" spans="1:29" ht="36.75" thickBot="1" x14ac:dyDescent="0.3">
      <c r="E129" s="54">
        <f>E127+1</f>
        <v>66</v>
      </c>
      <c r="F129" s="55" t="s">
        <v>129</v>
      </c>
      <c r="G129" s="56">
        <v>3132</v>
      </c>
      <c r="H129" s="57">
        <f>SUM(I129:T129)</f>
        <v>100000</v>
      </c>
      <c r="I129" s="59"/>
      <c r="J129" s="59"/>
      <c r="K129" s="58">
        <v>20000</v>
      </c>
      <c r="L129" s="59"/>
      <c r="M129" s="59"/>
      <c r="N129" s="59"/>
      <c r="O129" s="59"/>
      <c r="P129" s="59"/>
      <c r="Q129" s="59"/>
      <c r="R129" s="59"/>
      <c r="S129" s="58">
        <v>13000</v>
      </c>
      <c r="T129" s="144">
        <v>67000</v>
      </c>
      <c r="U129" s="39">
        <f t="shared" si="64"/>
        <v>20000</v>
      </c>
      <c r="V129" s="64"/>
      <c r="W129" s="64"/>
      <c r="X129" s="41">
        <f t="shared" ref="X129:X147" si="71">W129-V129</f>
        <v>0</v>
      </c>
      <c r="Y129" s="64"/>
      <c r="Z129" s="41">
        <f t="shared" ref="Z129:Z147" si="72">Y129-V129</f>
        <v>0</v>
      </c>
      <c r="AA129" s="42">
        <f t="shared" ref="AA129:AA147" si="73">Y129-U129</f>
        <v>-20000</v>
      </c>
      <c r="AB129" s="258"/>
      <c r="AC129" s="258"/>
    </row>
    <row r="130" spans="1:29" ht="36.75" thickBot="1" x14ac:dyDescent="0.3">
      <c r="E130" s="54">
        <f>E129+1</f>
        <v>67</v>
      </c>
      <c r="F130" s="55" t="s">
        <v>130</v>
      </c>
      <c r="G130" s="56">
        <v>3132</v>
      </c>
      <c r="H130" s="57">
        <f t="shared" ref="H130:H147" si="74">SUM(I130:T130)</f>
        <v>350000</v>
      </c>
      <c r="I130" s="59"/>
      <c r="J130" s="59"/>
      <c r="K130" s="58">
        <v>50000</v>
      </c>
      <c r="L130" s="59"/>
      <c r="M130" s="59"/>
      <c r="N130" s="59"/>
      <c r="O130" s="59"/>
      <c r="P130" s="59"/>
      <c r="Q130" s="59"/>
      <c r="R130" s="59"/>
      <c r="S130" s="59"/>
      <c r="T130" s="144">
        <v>300000</v>
      </c>
      <c r="U130" s="39">
        <f t="shared" si="64"/>
        <v>50000</v>
      </c>
      <c r="V130" s="64"/>
      <c r="W130" s="64"/>
      <c r="X130" s="41">
        <f t="shared" si="71"/>
        <v>0</v>
      </c>
      <c r="Y130" s="64"/>
      <c r="Z130" s="41">
        <f t="shared" si="72"/>
        <v>0</v>
      </c>
      <c r="AA130" s="42">
        <f t="shared" si="73"/>
        <v>-50000</v>
      </c>
      <c r="AB130" s="258"/>
      <c r="AC130" s="258"/>
    </row>
    <row r="131" spans="1:29" ht="36.75" thickBot="1" x14ac:dyDescent="0.3">
      <c r="E131" s="54">
        <f t="shared" ref="E131:E147" si="75">E130+1</f>
        <v>68</v>
      </c>
      <c r="F131" s="55" t="s">
        <v>131</v>
      </c>
      <c r="G131" s="56">
        <v>3132</v>
      </c>
      <c r="H131" s="57">
        <f t="shared" si="74"/>
        <v>100000</v>
      </c>
      <c r="I131" s="59"/>
      <c r="J131" s="59"/>
      <c r="K131" s="58">
        <v>25000</v>
      </c>
      <c r="L131" s="59"/>
      <c r="M131" s="59"/>
      <c r="N131" s="59"/>
      <c r="O131" s="59"/>
      <c r="P131" s="59"/>
      <c r="Q131" s="59"/>
      <c r="R131" s="59"/>
      <c r="S131" s="58">
        <v>75000</v>
      </c>
      <c r="T131" s="229"/>
      <c r="U131" s="39">
        <f t="shared" si="64"/>
        <v>25000</v>
      </c>
      <c r="V131" s="64"/>
      <c r="W131" s="64"/>
      <c r="X131" s="41">
        <f t="shared" si="71"/>
        <v>0</v>
      </c>
      <c r="Y131" s="64"/>
      <c r="Z131" s="41">
        <f t="shared" si="72"/>
        <v>0</v>
      </c>
      <c r="AA131" s="42">
        <f t="shared" si="73"/>
        <v>-25000</v>
      </c>
      <c r="AB131" s="258"/>
      <c r="AC131" s="258"/>
    </row>
    <row r="132" spans="1:29" ht="36.75" thickBot="1" x14ac:dyDescent="0.3">
      <c r="E132" s="54">
        <f t="shared" si="75"/>
        <v>69</v>
      </c>
      <c r="F132" s="55" t="s">
        <v>132</v>
      </c>
      <c r="G132" s="56">
        <v>3132</v>
      </c>
      <c r="H132" s="57">
        <f t="shared" si="74"/>
        <v>250000</v>
      </c>
      <c r="I132" s="59"/>
      <c r="J132" s="59"/>
      <c r="K132" s="58">
        <v>25000</v>
      </c>
      <c r="L132" s="59"/>
      <c r="M132" s="59"/>
      <c r="N132" s="59"/>
      <c r="O132" s="59"/>
      <c r="P132" s="59"/>
      <c r="Q132" s="59"/>
      <c r="R132" s="59"/>
      <c r="S132" s="59"/>
      <c r="T132" s="144">
        <v>225000</v>
      </c>
      <c r="U132" s="39">
        <f t="shared" si="64"/>
        <v>25000</v>
      </c>
      <c r="V132" s="64"/>
      <c r="W132" s="64"/>
      <c r="X132" s="41">
        <f t="shared" si="71"/>
        <v>0</v>
      </c>
      <c r="Y132" s="64"/>
      <c r="Z132" s="41">
        <f t="shared" si="72"/>
        <v>0</v>
      </c>
      <c r="AA132" s="42">
        <f t="shared" si="73"/>
        <v>-25000</v>
      </c>
      <c r="AB132" s="258"/>
      <c r="AC132" s="258"/>
    </row>
    <row r="133" spans="1:29" ht="36.75" thickBot="1" x14ac:dyDescent="0.3">
      <c r="E133" s="54">
        <f t="shared" si="75"/>
        <v>70</v>
      </c>
      <c r="F133" s="55" t="s">
        <v>133</v>
      </c>
      <c r="G133" s="56">
        <v>3132</v>
      </c>
      <c r="H133" s="57">
        <f t="shared" si="74"/>
        <v>50000</v>
      </c>
      <c r="I133" s="59"/>
      <c r="J133" s="59"/>
      <c r="K133" s="58">
        <v>10000</v>
      </c>
      <c r="L133" s="59"/>
      <c r="M133" s="59"/>
      <c r="N133" s="59"/>
      <c r="O133" s="59"/>
      <c r="P133" s="59"/>
      <c r="Q133" s="59"/>
      <c r="R133" s="59"/>
      <c r="S133" s="58">
        <v>40000</v>
      </c>
      <c r="T133" s="229"/>
      <c r="U133" s="39">
        <f t="shared" si="64"/>
        <v>10000</v>
      </c>
      <c r="V133" s="64"/>
      <c r="W133" s="64"/>
      <c r="X133" s="41">
        <f t="shared" si="71"/>
        <v>0</v>
      </c>
      <c r="Y133" s="64"/>
      <c r="Z133" s="41">
        <f t="shared" si="72"/>
        <v>0</v>
      </c>
      <c r="AA133" s="42">
        <f t="shared" si="73"/>
        <v>-10000</v>
      </c>
      <c r="AB133" s="258"/>
      <c r="AC133" s="258"/>
    </row>
    <row r="134" spans="1:29" ht="36.75" thickBot="1" x14ac:dyDescent="0.3">
      <c r="E134" s="54">
        <f t="shared" si="75"/>
        <v>71</v>
      </c>
      <c r="F134" s="55" t="s">
        <v>134</v>
      </c>
      <c r="G134" s="56">
        <v>3132</v>
      </c>
      <c r="H134" s="57">
        <f t="shared" si="74"/>
        <v>50000</v>
      </c>
      <c r="I134" s="59"/>
      <c r="J134" s="59"/>
      <c r="K134" s="58">
        <v>20000</v>
      </c>
      <c r="L134" s="59"/>
      <c r="M134" s="59"/>
      <c r="N134" s="59"/>
      <c r="O134" s="59"/>
      <c r="P134" s="59"/>
      <c r="Q134" s="59"/>
      <c r="R134" s="59"/>
      <c r="S134" s="58">
        <v>30000</v>
      </c>
      <c r="T134" s="229"/>
      <c r="U134" s="39">
        <f t="shared" si="64"/>
        <v>20000</v>
      </c>
      <c r="V134" s="64"/>
      <c r="W134" s="64"/>
      <c r="X134" s="41">
        <f t="shared" si="71"/>
        <v>0</v>
      </c>
      <c r="Y134" s="64"/>
      <c r="Z134" s="41">
        <f t="shared" si="72"/>
        <v>0</v>
      </c>
      <c r="AA134" s="42">
        <f t="shared" si="73"/>
        <v>-20000</v>
      </c>
      <c r="AB134" s="258"/>
      <c r="AC134" s="258"/>
    </row>
    <row r="135" spans="1:29" ht="36.75" thickBot="1" x14ac:dyDescent="0.3">
      <c r="E135" s="54">
        <f t="shared" si="75"/>
        <v>72</v>
      </c>
      <c r="F135" s="55" t="s">
        <v>135</v>
      </c>
      <c r="G135" s="56">
        <v>3132</v>
      </c>
      <c r="H135" s="57">
        <f t="shared" si="74"/>
        <v>50000</v>
      </c>
      <c r="I135" s="59"/>
      <c r="J135" s="59"/>
      <c r="K135" s="58">
        <v>20000</v>
      </c>
      <c r="L135" s="59"/>
      <c r="M135" s="59"/>
      <c r="N135" s="59"/>
      <c r="O135" s="59"/>
      <c r="P135" s="59"/>
      <c r="Q135" s="59"/>
      <c r="R135" s="59"/>
      <c r="S135" s="59"/>
      <c r="T135" s="144">
        <v>30000</v>
      </c>
      <c r="U135" s="39">
        <f t="shared" si="64"/>
        <v>20000</v>
      </c>
      <c r="V135" s="64"/>
      <c r="W135" s="64"/>
      <c r="X135" s="41">
        <f t="shared" si="71"/>
        <v>0</v>
      </c>
      <c r="Y135" s="64"/>
      <c r="Z135" s="41">
        <f t="shared" si="72"/>
        <v>0</v>
      </c>
      <c r="AA135" s="42">
        <f t="shared" si="73"/>
        <v>-20000</v>
      </c>
      <c r="AB135" s="258"/>
      <c r="AC135" s="258"/>
    </row>
    <row r="136" spans="1:29" ht="36.75" thickBot="1" x14ac:dyDescent="0.3">
      <c r="E136" s="54">
        <f t="shared" si="75"/>
        <v>73</v>
      </c>
      <c r="F136" s="55" t="s">
        <v>136</v>
      </c>
      <c r="G136" s="56">
        <v>3132</v>
      </c>
      <c r="H136" s="57">
        <f t="shared" si="74"/>
        <v>50000</v>
      </c>
      <c r="I136" s="59"/>
      <c r="J136" s="59"/>
      <c r="K136" s="58">
        <v>20000</v>
      </c>
      <c r="L136" s="59"/>
      <c r="M136" s="59"/>
      <c r="N136" s="59"/>
      <c r="O136" s="59"/>
      <c r="P136" s="59"/>
      <c r="Q136" s="59"/>
      <c r="R136" s="59"/>
      <c r="S136" s="59"/>
      <c r="T136" s="144">
        <v>30000</v>
      </c>
      <c r="U136" s="39">
        <f t="shared" si="64"/>
        <v>20000</v>
      </c>
      <c r="V136" s="64"/>
      <c r="W136" s="64"/>
      <c r="X136" s="41">
        <f t="shared" si="71"/>
        <v>0</v>
      </c>
      <c r="Y136" s="64"/>
      <c r="Z136" s="41">
        <f t="shared" si="72"/>
        <v>0</v>
      </c>
      <c r="AA136" s="42">
        <f>Y136-U136</f>
        <v>-20000</v>
      </c>
      <c r="AB136" s="258"/>
      <c r="AC136" s="258"/>
    </row>
    <row r="137" spans="1:29" ht="36.75" thickBot="1" x14ac:dyDescent="0.3">
      <c r="E137" s="54">
        <f t="shared" si="75"/>
        <v>74</v>
      </c>
      <c r="F137" s="55" t="s">
        <v>137</v>
      </c>
      <c r="G137" s="56">
        <v>3132</v>
      </c>
      <c r="H137" s="57">
        <f t="shared" si="74"/>
        <v>100000</v>
      </c>
      <c r="I137" s="59"/>
      <c r="J137" s="59"/>
      <c r="K137" s="58">
        <v>30000</v>
      </c>
      <c r="L137" s="59"/>
      <c r="M137" s="59"/>
      <c r="N137" s="59"/>
      <c r="O137" s="59"/>
      <c r="P137" s="59"/>
      <c r="Q137" s="59"/>
      <c r="R137" s="59"/>
      <c r="S137" s="58">
        <v>70000</v>
      </c>
      <c r="T137" s="229"/>
      <c r="U137" s="39">
        <f t="shared" si="64"/>
        <v>30000</v>
      </c>
      <c r="V137" s="64"/>
      <c r="W137" s="64"/>
      <c r="X137" s="41">
        <f t="shared" si="71"/>
        <v>0</v>
      </c>
      <c r="Y137" s="64"/>
      <c r="Z137" s="41">
        <f t="shared" si="72"/>
        <v>0</v>
      </c>
      <c r="AA137" s="42">
        <f t="shared" si="73"/>
        <v>-30000</v>
      </c>
      <c r="AB137" s="258"/>
      <c r="AC137" s="258"/>
    </row>
    <row r="138" spans="1:29" ht="36.75" thickBot="1" x14ac:dyDescent="0.3">
      <c r="E138" s="54">
        <f t="shared" si="75"/>
        <v>75</v>
      </c>
      <c r="F138" s="55" t="s">
        <v>138</v>
      </c>
      <c r="G138" s="56">
        <v>3132</v>
      </c>
      <c r="H138" s="57">
        <f t="shared" si="74"/>
        <v>70000</v>
      </c>
      <c r="I138" s="59"/>
      <c r="J138" s="59"/>
      <c r="K138" s="58">
        <v>25000</v>
      </c>
      <c r="L138" s="59"/>
      <c r="M138" s="59"/>
      <c r="N138" s="59"/>
      <c r="O138" s="59"/>
      <c r="P138" s="59"/>
      <c r="Q138" s="59"/>
      <c r="R138" s="59"/>
      <c r="S138" s="58">
        <v>45000</v>
      </c>
      <c r="T138" s="229"/>
      <c r="U138" s="39">
        <f t="shared" si="64"/>
        <v>25000</v>
      </c>
      <c r="V138" s="64"/>
      <c r="W138" s="64"/>
      <c r="X138" s="41">
        <f t="shared" si="71"/>
        <v>0</v>
      </c>
      <c r="Y138" s="64"/>
      <c r="Z138" s="41">
        <f t="shared" si="72"/>
        <v>0</v>
      </c>
      <c r="AA138" s="42">
        <f t="shared" si="73"/>
        <v>-25000</v>
      </c>
      <c r="AB138" s="258"/>
      <c r="AC138" s="258"/>
    </row>
    <row r="139" spans="1:29" ht="36.75" thickBot="1" x14ac:dyDescent="0.3">
      <c r="E139" s="54">
        <f t="shared" si="75"/>
        <v>76</v>
      </c>
      <c r="F139" s="55" t="s">
        <v>139</v>
      </c>
      <c r="G139" s="56">
        <v>3132</v>
      </c>
      <c r="H139" s="57">
        <f t="shared" si="74"/>
        <v>100000</v>
      </c>
      <c r="I139" s="59"/>
      <c r="J139" s="59"/>
      <c r="K139" s="58">
        <v>20000</v>
      </c>
      <c r="L139" s="59"/>
      <c r="M139" s="59"/>
      <c r="N139" s="59"/>
      <c r="O139" s="59"/>
      <c r="P139" s="59"/>
      <c r="Q139" s="59"/>
      <c r="R139" s="58">
        <v>80000</v>
      </c>
      <c r="S139" s="59"/>
      <c r="T139" s="229"/>
      <c r="U139" s="39">
        <f t="shared" si="64"/>
        <v>20000</v>
      </c>
      <c r="V139" s="64"/>
      <c r="W139" s="64"/>
      <c r="X139" s="41">
        <f t="shared" si="71"/>
        <v>0</v>
      </c>
      <c r="Y139" s="64"/>
      <c r="Z139" s="41">
        <f t="shared" si="72"/>
        <v>0</v>
      </c>
      <c r="AA139" s="42">
        <f t="shared" si="73"/>
        <v>-20000</v>
      </c>
      <c r="AB139" s="258"/>
      <c r="AC139" s="258"/>
    </row>
    <row r="140" spans="1:29" ht="36.75" thickBot="1" x14ac:dyDescent="0.3">
      <c r="E140" s="54">
        <f t="shared" si="75"/>
        <v>77</v>
      </c>
      <c r="F140" s="55" t="s">
        <v>140</v>
      </c>
      <c r="G140" s="56">
        <v>3132</v>
      </c>
      <c r="H140" s="57">
        <f t="shared" si="74"/>
        <v>100000</v>
      </c>
      <c r="I140" s="59"/>
      <c r="J140" s="59"/>
      <c r="K140" s="58">
        <v>20000</v>
      </c>
      <c r="L140" s="59"/>
      <c r="M140" s="59"/>
      <c r="N140" s="59"/>
      <c r="O140" s="59"/>
      <c r="P140" s="59"/>
      <c r="Q140" s="59"/>
      <c r="R140" s="58">
        <v>80000</v>
      </c>
      <c r="S140" s="59"/>
      <c r="T140" s="229"/>
      <c r="U140" s="39">
        <f t="shared" si="64"/>
        <v>20000</v>
      </c>
      <c r="V140" s="64"/>
      <c r="W140" s="64"/>
      <c r="X140" s="41">
        <f t="shared" si="71"/>
        <v>0</v>
      </c>
      <c r="Y140" s="64"/>
      <c r="Z140" s="41">
        <f t="shared" si="72"/>
        <v>0</v>
      </c>
      <c r="AA140" s="42">
        <f t="shared" si="73"/>
        <v>-20000</v>
      </c>
      <c r="AB140" s="258"/>
      <c r="AC140" s="258"/>
    </row>
    <row r="141" spans="1:29" ht="24.75" thickBot="1" x14ac:dyDescent="0.3">
      <c r="E141" s="54">
        <f t="shared" si="75"/>
        <v>78</v>
      </c>
      <c r="F141" s="55" t="s">
        <v>141</v>
      </c>
      <c r="G141" s="56">
        <v>3132</v>
      </c>
      <c r="H141" s="57">
        <f t="shared" si="74"/>
        <v>100000</v>
      </c>
      <c r="I141" s="59"/>
      <c r="J141" s="59"/>
      <c r="K141" s="58">
        <v>20000</v>
      </c>
      <c r="L141" s="59"/>
      <c r="M141" s="59"/>
      <c r="N141" s="59"/>
      <c r="O141" s="59"/>
      <c r="P141" s="59"/>
      <c r="Q141" s="59"/>
      <c r="R141" s="58">
        <v>80000</v>
      </c>
      <c r="S141" s="59"/>
      <c r="T141" s="229"/>
      <c r="U141" s="39">
        <f t="shared" si="64"/>
        <v>20000</v>
      </c>
      <c r="V141" s="64"/>
      <c r="W141" s="64"/>
      <c r="X141" s="41">
        <f t="shared" si="71"/>
        <v>0</v>
      </c>
      <c r="Y141" s="64"/>
      <c r="Z141" s="41">
        <f t="shared" si="72"/>
        <v>0</v>
      </c>
      <c r="AA141" s="42">
        <f t="shared" si="73"/>
        <v>-20000</v>
      </c>
      <c r="AB141" s="258"/>
      <c r="AC141" s="258"/>
    </row>
    <row r="142" spans="1:29" ht="36.75" thickBot="1" x14ac:dyDescent="0.3">
      <c r="E142" s="54">
        <f t="shared" si="75"/>
        <v>79</v>
      </c>
      <c r="F142" s="55" t="s">
        <v>142</v>
      </c>
      <c r="G142" s="56">
        <v>3132</v>
      </c>
      <c r="H142" s="57">
        <f t="shared" si="74"/>
        <v>150000</v>
      </c>
      <c r="I142" s="59"/>
      <c r="J142" s="59"/>
      <c r="K142" s="58">
        <v>25000</v>
      </c>
      <c r="L142" s="59"/>
      <c r="M142" s="59"/>
      <c r="N142" s="59"/>
      <c r="O142" s="59"/>
      <c r="P142" s="59"/>
      <c r="Q142" s="59"/>
      <c r="R142" s="58">
        <v>125000</v>
      </c>
      <c r="S142" s="59"/>
      <c r="T142" s="229"/>
      <c r="U142" s="39">
        <f t="shared" si="64"/>
        <v>25000</v>
      </c>
      <c r="V142" s="64"/>
      <c r="W142" s="64"/>
      <c r="X142" s="41">
        <f t="shared" si="71"/>
        <v>0</v>
      </c>
      <c r="Y142" s="64"/>
      <c r="Z142" s="41">
        <f t="shared" si="72"/>
        <v>0</v>
      </c>
      <c r="AA142" s="42">
        <f t="shared" si="73"/>
        <v>-25000</v>
      </c>
      <c r="AB142" s="258"/>
      <c r="AC142" s="258"/>
    </row>
    <row r="143" spans="1:29" ht="36.75" thickBot="1" x14ac:dyDescent="0.3">
      <c r="A143" t="s">
        <v>226</v>
      </c>
      <c r="D143" t="s">
        <v>227</v>
      </c>
      <c r="E143" s="54">
        <f t="shared" si="75"/>
        <v>80</v>
      </c>
      <c r="F143" s="55" t="s">
        <v>143</v>
      </c>
      <c r="G143" s="56">
        <v>3133</v>
      </c>
      <c r="H143" s="57">
        <f t="shared" si="74"/>
        <v>144424</v>
      </c>
      <c r="I143" s="58">
        <v>144424</v>
      </c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229"/>
      <c r="U143" s="39">
        <f t="shared" si="64"/>
        <v>144424</v>
      </c>
      <c r="V143" s="125">
        <f>139500+1940</f>
        <v>141440</v>
      </c>
      <c r="W143" s="125">
        <f>139500+1940</f>
        <v>141440</v>
      </c>
      <c r="X143" s="41">
        <f t="shared" si="71"/>
        <v>0</v>
      </c>
      <c r="Y143" s="125">
        <f>139500+1940</f>
        <v>141440</v>
      </c>
      <c r="Z143" s="41">
        <f t="shared" si="72"/>
        <v>0</v>
      </c>
      <c r="AA143" s="42">
        <f t="shared" si="73"/>
        <v>-2984</v>
      </c>
      <c r="AB143" s="258"/>
      <c r="AC143" s="258"/>
    </row>
    <row r="144" spans="1:29" ht="57" thickBot="1" x14ac:dyDescent="0.3">
      <c r="E144" s="54">
        <f t="shared" si="75"/>
        <v>81</v>
      </c>
      <c r="F144" s="184" t="s">
        <v>275</v>
      </c>
      <c r="G144" s="180">
        <v>3133</v>
      </c>
      <c r="H144" s="181">
        <f t="shared" si="74"/>
        <v>450000</v>
      </c>
      <c r="I144" s="183"/>
      <c r="J144" s="182">
        <v>20000</v>
      </c>
      <c r="K144" s="182">
        <v>50000</v>
      </c>
      <c r="L144" s="183"/>
      <c r="M144" s="182">
        <v>380000</v>
      </c>
      <c r="N144" s="183"/>
      <c r="O144" s="183"/>
      <c r="P144" s="183"/>
      <c r="Q144" s="183"/>
      <c r="R144" s="183"/>
      <c r="S144" s="183"/>
      <c r="T144" s="229"/>
      <c r="U144" s="39">
        <f t="shared" si="64"/>
        <v>450000</v>
      </c>
      <c r="V144" s="148"/>
      <c r="W144" s="148"/>
      <c r="X144" s="41">
        <f t="shared" si="71"/>
        <v>0</v>
      </c>
      <c r="Y144" s="148"/>
      <c r="Z144" s="41">
        <f t="shared" si="72"/>
        <v>0</v>
      </c>
      <c r="AA144" s="42">
        <f t="shared" si="73"/>
        <v>-450000</v>
      </c>
      <c r="AB144" s="258"/>
      <c r="AC144" s="258"/>
    </row>
    <row r="145" spans="1:29" ht="45.75" thickBot="1" x14ac:dyDescent="0.3">
      <c r="E145" s="54">
        <f t="shared" si="75"/>
        <v>82</v>
      </c>
      <c r="F145" s="184" t="s">
        <v>276</v>
      </c>
      <c r="G145" s="180">
        <v>3133</v>
      </c>
      <c r="H145" s="181">
        <f t="shared" si="74"/>
        <v>450000</v>
      </c>
      <c r="I145" s="183"/>
      <c r="J145" s="183"/>
      <c r="K145" s="183"/>
      <c r="L145" s="183"/>
      <c r="M145" s="182">
        <v>120000</v>
      </c>
      <c r="N145" s="183"/>
      <c r="O145" s="182">
        <v>330000</v>
      </c>
      <c r="P145" s="183"/>
      <c r="Q145" s="183"/>
      <c r="R145" s="183"/>
      <c r="S145" s="183"/>
      <c r="T145" s="229"/>
      <c r="U145" s="39">
        <f t="shared" si="64"/>
        <v>450000</v>
      </c>
      <c r="V145" s="148"/>
      <c r="W145" s="148"/>
      <c r="X145" s="41">
        <f t="shared" si="71"/>
        <v>0</v>
      </c>
      <c r="Y145" s="148"/>
      <c r="Z145" s="41">
        <f t="shared" si="72"/>
        <v>0</v>
      </c>
      <c r="AA145" s="42">
        <f t="shared" si="73"/>
        <v>-450000</v>
      </c>
      <c r="AB145" s="258"/>
      <c r="AC145" s="258"/>
    </row>
    <row r="146" spans="1:29" ht="45.75" thickBot="1" x14ac:dyDescent="0.3">
      <c r="E146" s="54">
        <f t="shared" si="75"/>
        <v>83</v>
      </c>
      <c r="F146" s="184" t="s">
        <v>277</v>
      </c>
      <c r="G146" s="180">
        <v>3133</v>
      </c>
      <c r="H146" s="181">
        <f t="shared" si="74"/>
        <v>395000</v>
      </c>
      <c r="I146" s="183"/>
      <c r="J146" s="183"/>
      <c r="K146" s="183"/>
      <c r="L146" s="183"/>
      <c r="M146" s="183"/>
      <c r="N146" s="183"/>
      <c r="O146" s="182">
        <v>170000</v>
      </c>
      <c r="P146" s="182">
        <v>225000</v>
      </c>
      <c r="Q146" s="183"/>
      <c r="R146" s="183"/>
      <c r="S146" s="183"/>
      <c r="T146" s="229"/>
      <c r="U146" s="39">
        <f t="shared" si="64"/>
        <v>170000</v>
      </c>
      <c r="V146" s="148"/>
      <c r="W146" s="148"/>
      <c r="X146" s="41">
        <f t="shared" si="71"/>
        <v>0</v>
      </c>
      <c r="Y146" s="148"/>
      <c r="Z146" s="41">
        <f t="shared" si="72"/>
        <v>0</v>
      </c>
      <c r="AA146" s="42">
        <f t="shared" si="73"/>
        <v>-170000</v>
      </c>
      <c r="AB146" s="258"/>
      <c r="AC146" s="258"/>
    </row>
    <row r="147" spans="1:29" ht="57" thickBot="1" x14ac:dyDescent="0.3">
      <c r="E147" s="54">
        <f t="shared" si="75"/>
        <v>84</v>
      </c>
      <c r="F147" s="184" t="s">
        <v>278</v>
      </c>
      <c r="G147" s="180">
        <v>3133</v>
      </c>
      <c r="H147" s="181">
        <f t="shared" si="74"/>
        <v>450000</v>
      </c>
      <c r="I147" s="183"/>
      <c r="J147" s="183"/>
      <c r="K147" s="183"/>
      <c r="L147" s="183"/>
      <c r="M147" s="183"/>
      <c r="N147" s="183"/>
      <c r="O147" s="183"/>
      <c r="P147" s="182">
        <v>225000</v>
      </c>
      <c r="Q147" s="182">
        <v>225000</v>
      </c>
      <c r="R147" s="183"/>
      <c r="S147" s="183"/>
      <c r="T147" s="229"/>
      <c r="U147" s="39">
        <f t="shared" si="64"/>
        <v>0</v>
      </c>
      <c r="V147" s="148"/>
      <c r="W147" s="148"/>
      <c r="X147" s="41">
        <f t="shared" si="71"/>
        <v>0</v>
      </c>
      <c r="Y147" s="148"/>
      <c r="Z147" s="41">
        <f t="shared" si="72"/>
        <v>0</v>
      </c>
      <c r="AA147" s="42">
        <f t="shared" si="73"/>
        <v>0</v>
      </c>
      <c r="AB147" s="258"/>
      <c r="AC147" s="258"/>
    </row>
    <row r="148" spans="1:29" ht="15.75" customHeight="1" thickBot="1" x14ac:dyDescent="0.3">
      <c r="E148" s="478" t="s">
        <v>144</v>
      </c>
      <c r="F148" s="479"/>
      <c r="G148" s="479"/>
      <c r="H148" s="53">
        <f>H149</f>
        <v>299000</v>
      </c>
      <c r="I148" s="53">
        <f t="shared" ref="I148:AA148" si="76">I149</f>
        <v>0</v>
      </c>
      <c r="J148" s="53">
        <f t="shared" si="76"/>
        <v>0</v>
      </c>
      <c r="K148" s="53">
        <f t="shared" si="76"/>
        <v>50000</v>
      </c>
      <c r="L148" s="53">
        <f t="shared" si="76"/>
        <v>0</v>
      </c>
      <c r="M148" s="53">
        <f t="shared" si="76"/>
        <v>0</v>
      </c>
      <c r="N148" s="53">
        <f t="shared" si="76"/>
        <v>0</v>
      </c>
      <c r="O148" s="53">
        <f t="shared" si="76"/>
        <v>0</v>
      </c>
      <c r="P148" s="53">
        <f t="shared" si="76"/>
        <v>0</v>
      </c>
      <c r="Q148" s="53">
        <f t="shared" si="76"/>
        <v>0</v>
      </c>
      <c r="R148" s="53">
        <f t="shared" si="76"/>
        <v>0</v>
      </c>
      <c r="S148" s="53">
        <f t="shared" si="76"/>
        <v>0</v>
      </c>
      <c r="T148" s="226">
        <f t="shared" si="76"/>
        <v>249000</v>
      </c>
      <c r="U148" s="39">
        <f t="shared" si="64"/>
        <v>50000</v>
      </c>
      <c r="V148" s="53">
        <f t="shared" si="76"/>
        <v>0</v>
      </c>
      <c r="W148" s="53">
        <f t="shared" si="76"/>
        <v>0</v>
      </c>
      <c r="X148" s="53">
        <f t="shared" si="76"/>
        <v>0</v>
      </c>
      <c r="Y148" s="53">
        <f t="shared" si="76"/>
        <v>6088</v>
      </c>
      <c r="Z148" s="53">
        <f t="shared" si="76"/>
        <v>6088</v>
      </c>
      <c r="AA148" s="53">
        <f t="shared" si="76"/>
        <v>-43912</v>
      </c>
      <c r="AB148" s="263"/>
      <c r="AC148" s="263"/>
    </row>
    <row r="149" spans="1:29" ht="45.75" thickBot="1" x14ac:dyDescent="0.3">
      <c r="A149" t="s">
        <v>338</v>
      </c>
      <c r="B149" t="s">
        <v>339</v>
      </c>
      <c r="D149" t="s">
        <v>340</v>
      </c>
      <c r="E149" s="54">
        <f>E147+1</f>
        <v>85</v>
      </c>
      <c r="F149" s="184" t="s">
        <v>279</v>
      </c>
      <c r="G149" s="56">
        <v>3132</v>
      </c>
      <c r="H149" s="57">
        <v>299000</v>
      </c>
      <c r="I149" s="59"/>
      <c r="J149" s="59"/>
      <c r="K149" s="58">
        <v>50000</v>
      </c>
      <c r="L149" s="59"/>
      <c r="M149" s="59"/>
      <c r="N149" s="59"/>
      <c r="O149" s="59"/>
      <c r="P149" s="59"/>
      <c r="Q149" s="59"/>
      <c r="R149" s="59"/>
      <c r="S149" s="59"/>
      <c r="T149" s="144">
        <v>249000</v>
      </c>
      <c r="U149" s="39">
        <f t="shared" si="64"/>
        <v>50000</v>
      </c>
      <c r="V149" s="64"/>
      <c r="W149" s="64"/>
      <c r="X149" s="41">
        <f t="shared" ref="X149" si="77">W149-V149</f>
        <v>0</v>
      </c>
      <c r="Y149" s="125">
        <f>6088</f>
        <v>6088</v>
      </c>
      <c r="Z149" s="41">
        <f t="shared" ref="Z149" si="78">Y149-V149</f>
        <v>6088</v>
      </c>
      <c r="AA149" s="42">
        <f t="shared" ref="AA149" si="79">Y149-U149</f>
        <v>-43912</v>
      </c>
      <c r="AB149" s="258"/>
      <c r="AC149" s="258"/>
    </row>
    <row r="150" spans="1:29" ht="15.75" customHeight="1" thickBot="1" x14ac:dyDescent="0.3">
      <c r="E150" s="478" t="s">
        <v>145</v>
      </c>
      <c r="F150" s="479"/>
      <c r="G150" s="479"/>
      <c r="H150" s="53">
        <f>SUM(H151:H155)</f>
        <v>1141450</v>
      </c>
      <c r="I150" s="53">
        <f>SUM(I151:I155)-I153</f>
        <v>726000</v>
      </c>
      <c r="J150" s="53">
        <f t="shared" ref="J150:T150" si="80">SUM(J151:J155)-J153</f>
        <v>130450</v>
      </c>
      <c r="K150" s="53">
        <f t="shared" si="80"/>
        <v>15000</v>
      </c>
      <c r="L150" s="53">
        <f t="shared" si="80"/>
        <v>0</v>
      </c>
      <c r="M150" s="53">
        <f t="shared" si="80"/>
        <v>0</v>
      </c>
      <c r="N150" s="53">
        <f t="shared" si="80"/>
        <v>0</v>
      </c>
      <c r="O150" s="53">
        <f t="shared" si="80"/>
        <v>0</v>
      </c>
      <c r="P150" s="53">
        <f t="shared" si="80"/>
        <v>0</v>
      </c>
      <c r="Q150" s="53">
        <f t="shared" si="80"/>
        <v>0</v>
      </c>
      <c r="R150" s="53">
        <f t="shared" si="80"/>
        <v>0</v>
      </c>
      <c r="S150" s="53">
        <f t="shared" si="80"/>
        <v>0</v>
      </c>
      <c r="T150" s="226">
        <f t="shared" si="80"/>
        <v>270000</v>
      </c>
      <c r="U150" s="39">
        <f t="shared" si="64"/>
        <v>871450</v>
      </c>
      <c r="V150" s="53">
        <f t="shared" ref="V150:AA150" si="81">SUM(V151:V155)</f>
        <v>691011.74</v>
      </c>
      <c r="W150" s="53">
        <f t="shared" si="81"/>
        <v>691011.74</v>
      </c>
      <c r="X150" s="53">
        <f t="shared" si="81"/>
        <v>0</v>
      </c>
      <c r="Y150" s="53">
        <f t="shared" si="81"/>
        <v>691011.74</v>
      </c>
      <c r="Z150" s="53">
        <f t="shared" si="81"/>
        <v>0</v>
      </c>
      <c r="AA150" s="53">
        <f t="shared" si="81"/>
        <v>-180438.26</v>
      </c>
      <c r="AB150" s="263"/>
      <c r="AC150" s="263"/>
    </row>
    <row r="151" spans="1:29" ht="48.75" thickBot="1" x14ac:dyDescent="0.3">
      <c r="A151" t="s">
        <v>231</v>
      </c>
      <c r="B151" t="s">
        <v>232</v>
      </c>
      <c r="D151" s="484" t="s">
        <v>219</v>
      </c>
      <c r="E151" s="54">
        <f>E149+1</f>
        <v>86</v>
      </c>
      <c r="F151" s="179" t="s">
        <v>146</v>
      </c>
      <c r="G151" s="180">
        <v>3132</v>
      </c>
      <c r="H151" s="181">
        <f>SUM(I151:T151)</f>
        <v>300000</v>
      </c>
      <c r="I151" s="182">
        <v>300000</v>
      </c>
      <c r="J151" s="183"/>
      <c r="K151" s="183"/>
      <c r="L151" s="183"/>
      <c r="M151" s="183"/>
      <c r="N151" s="59"/>
      <c r="O151" s="59"/>
      <c r="P151" s="59"/>
      <c r="Q151" s="59"/>
      <c r="R151" s="59"/>
      <c r="S151" s="59"/>
      <c r="T151" s="229"/>
      <c r="U151" s="39">
        <f t="shared" si="64"/>
        <v>300000</v>
      </c>
      <c r="V151" s="125">
        <f>286880+4252.93</f>
        <v>291132.93</v>
      </c>
      <c r="W151" s="125">
        <f>286880+4252.93</f>
        <v>291132.93</v>
      </c>
      <c r="X151" s="41">
        <f t="shared" ref="X151:X155" si="82">W151-V151</f>
        <v>0</v>
      </c>
      <c r="Y151" s="125">
        <f>286880+4252.93</f>
        <v>291132.93</v>
      </c>
      <c r="Z151" s="41">
        <f t="shared" ref="Z151:Z155" si="83">Y151-V151</f>
        <v>0</v>
      </c>
      <c r="AA151" s="42">
        <f t="shared" ref="AA151:AA155" si="84">Y151-U151</f>
        <v>-8867.070000000007</v>
      </c>
      <c r="AB151" s="258"/>
      <c r="AC151" s="258"/>
    </row>
    <row r="152" spans="1:29" ht="48.75" thickBot="1" x14ac:dyDescent="0.3">
      <c r="A152" t="s">
        <v>233</v>
      </c>
      <c r="B152" t="s">
        <v>232</v>
      </c>
      <c r="D152" s="484"/>
      <c r="E152" s="54">
        <f>E151+1</f>
        <v>87</v>
      </c>
      <c r="F152" s="179" t="s">
        <v>147</v>
      </c>
      <c r="G152" s="180">
        <v>3132</v>
      </c>
      <c r="H152" s="181">
        <f t="shared" ref="H152:H155" si="85">SUM(I152:T152)</f>
        <v>241450</v>
      </c>
      <c r="I152" s="182">
        <v>111000</v>
      </c>
      <c r="J152" s="182">
        <v>130450</v>
      </c>
      <c r="K152" s="183"/>
      <c r="L152" s="183"/>
      <c r="M152" s="183"/>
      <c r="N152" s="59"/>
      <c r="O152" s="59"/>
      <c r="P152" s="59"/>
      <c r="Q152" s="59"/>
      <c r="R152" s="59"/>
      <c r="S152" s="59"/>
      <c r="T152" s="229"/>
      <c r="U152" s="39">
        <f t="shared" si="64"/>
        <v>241450</v>
      </c>
      <c r="V152" s="125">
        <f>106570+1580.51</f>
        <v>108150.51</v>
      </c>
      <c r="W152" s="125">
        <f>106570+1580.51</f>
        <v>108150.51</v>
      </c>
      <c r="X152" s="41">
        <f t="shared" si="82"/>
        <v>0</v>
      </c>
      <c r="Y152" s="125">
        <f>106570+1580.51</f>
        <v>108150.51</v>
      </c>
      <c r="Z152" s="41">
        <f t="shared" si="83"/>
        <v>0</v>
      </c>
      <c r="AA152" s="42">
        <f t="shared" si="84"/>
        <v>-133299.49</v>
      </c>
      <c r="AB152" s="258"/>
      <c r="AC152" s="258"/>
    </row>
    <row r="153" spans="1:29" ht="15.75" thickBot="1" x14ac:dyDescent="0.3">
      <c r="D153" s="149"/>
      <c r="E153" s="54"/>
      <c r="F153" s="179"/>
      <c r="G153" s="180"/>
      <c r="H153" s="181"/>
      <c r="I153" s="188"/>
      <c r="J153" s="189">
        <v>130450</v>
      </c>
      <c r="K153" s="188"/>
      <c r="L153" s="188"/>
      <c r="M153" s="188"/>
      <c r="N153" s="145"/>
      <c r="O153" s="145"/>
      <c r="P153" s="145"/>
      <c r="Q153" s="145"/>
      <c r="R153" s="145"/>
      <c r="S153" s="145"/>
      <c r="T153" s="230"/>
      <c r="U153" s="39">
        <f t="shared" si="64"/>
        <v>130450</v>
      </c>
      <c r="V153" s="125"/>
      <c r="W153" s="125"/>
      <c r="X153" s="41"/>
      <c r="Y153" s="125"/>
      <c r="Z153" s="41"/>
      <c r="AA153" s="42"/>
      <c r="AB153" s="258"/>
      <c r="AC153" s="258"/>
    </row>
    <row r="154" spans="1:29" ht="48.75" thickBot="1" x14ac:dyDescent="0.3">
      <c r="A154" t="s">
        <v>234</v>
      </c>
      <c r="B154" t="s">
        <v>232</v>
      </c>
      <c r="D154" t="s">
        <v>218</v>
      </c>
      <c r="E154" s="54">
        <f>E152+1</f>
        <v>88</v>
      </c>
      <c r="F154" s="179" t="s">
        <v>148</v>
      </c>
      <c r="G154" s="180">
        <v>3132</v>
      </c>
      <c r="H154" s="181">
        <f t="shared" si="85"/>
        <v>300000</v>
      </c>
      <c r="I154" s="182">
        <v>300000</v>
      </c>
      <c r="J154" s="183"/>
      <c r="K154" s="183"/>
      <c r="L154" s="183"/>
      <c r="M154" s="183"/>
      <c r="N154" s="59"/>
      <c r="O154" s="59"/>
      <c r="P154" s="59"/>
      <c r="Q154" s="59"/>
      <c r="R154" s="59"/>
      <c r="S154" s="59"/>
      <c r="T154" s="229"/>
      <c r="U154" s="39">
        <f t="shared" si="64"/>
        <v>300000</v>
      </c>
      <c r="V154" s="125">
        <f>287460+4268.3</f>
        <v>291728.3</v>
      </c>
      <c r="W154" s="125">
        <f>287460+4268.3</f>
        <v>291728.3</v>
      </c>
      <c r="X154" s="41">
        <f t="shared" si="82"/>
        <v>0</v>
      </c>
      <c r="Y154" s="125">
        <f>287460+4268.3</f>
        <v>291728.3</v>
      </c>
      <c r="Z154" s="41">
        <f t="shared" si="83"/>
        <v>0</v>
      </c>
      <c r="AA154" s="42">
        <f t="shared" si="84"/>
        <v>-8271.7000000000116</v>
      </c>
      <c r="AB154" s="258"/>
      <c r="AC154" s="258"/>
    </row>
    <row r="155" spans="1:29" ht="48.75" thickBot="1" x14ac:dyDescent="0.3">
      <c r="E155" s="54">
        <f t="shared" ref="E155" si="86">E154+1</f>
        <v>89</v>
      </c>
      <c r="F155" s="179" t="s">
        <v>149</v>
      </c>
      <c r="G155" s="180">
        <v>3132</v>
      </c>
      <c r="H155" s="181">
        <f t="shared" si="85"/>
        <v>300000</v>
      </c>
      <c r="I155" s="182">
        <v>15000</v>
      </c>
      <c r="J155" s="183"/>
      <c r="K155" s="182">
        <v>15000</v>
      </c>
      <c r="L155" s="183"/>
      <c r="M155" s="183"/>
      <c r="N155" s="59"/>
      <c r="O155" s="59"/>
      <c r="P155" s="59"/>
      <c r="Q155" s="59"/>
      <c r="R155" s="59"/>
      <c r="S155" s="59"/>
      <c r="T155" s="144">
        <v>270000</v>
      </c>
      <c r="U155" s="39">
        <f t="shared" si="64"/>
        <v>30000</v>
      </c>
      <c r="V155" s="64"/>
      <c r="W155" s="64"/>
      <c r="X155" s="41">
        <f t="shared" si="82"/>
        <v>0</v>
      </c>
      <c r="Y155" s="64"/>
      <c r="Z155" s="41">
        <f t="shared" si="83"/>
        <v>0</v>
      </c>
      <c r="AA155" s="42">
        <f t="shared" si="84"/>
        <v>-30000</v>
      </c>
      <c r="AB155" s="258"/>
      <c r="AC155" s="258"/>
    </row>
    <row r="156" spans="1:29" ht="16.5" customHeight="1" thickBot="1" x14ac:dyDescent="0.3">
      <c r="E156" s="478" t="s">
        <v>150</v>
      </c>
      <c r="F156" s="479"/>
      <c r="G156" s="479"/>
      <c r="H156" s="53">
        <f>SUM(H157:H160)</f>
        <v>1650000</v>
      </c>
      <c r="I156" s="53">
        <f>SUM(I157:I160)</f>
        <v>50000</v>
      </c>
      <c r="J156" s="53">
        <f t="shared" ref="J156:AA156" si="87">SUM(J157:J160)</f>
        <v>0</v>
      </c>
      <c r="K156" s="53">
        <f t="shared" si="87"/>
        <v>50000</v>
      </c>
      <c r="L156" s="53">
        <f t="shared" si="87"/>
        <v>350000</v>
      </c>
      <c r="M156" s="53">
        <f t="shared" si="87"/>
        <v>0</v>
      </c>
      <c r="N156" s="53">
        <f t="shared" si="87"/>
        <v>0</v>
      </c>
      <c r="O156" s="53">
        <f t="shared" si="87"/>
        <v>0</v>
      </c>
      <c r="P156" s="53">
        <f t="shared" si="87"/>
        <v>700000</v>
      </c>
      <c r="Q156" s="53">
        <f t="shared" si="87"/>
        <v>500000</v>
      </c>
      <c r="R156" s="53">
        <f t="shared" si="87"/>
        <v>0</v>
      </c>
      <c r="S156" s="53">
        <f t="shared" si="87"/>
        <v>0</v>
      </c>
      <c r="T156" s="226">
        <f t="shared" si="87"/>
        <v>0</v>
      </c>
      <c r="U156" s="39">
        <f t="shared" si="64"/>
        <v>450000</v>
      </c>
      <c r="V156" s="53">
        <f t="shared" si="87"/>
        <v>0</v>
      </c>
      <c r="W156" s="53">
        <f t="shared" si="87"/>
        <v>0</v>
      </c>
      <c r="X156" s="53">
        <f t="shared" si="87"/>
        <v>0</v>
      </c>
      <c r="Y156" s="53">
        <f t="shared" si="87"/>
        <v>70323</v>
      </c>
      <c r="Z156" s="53">
        <f t="shared" si="87"/>
        <v>70323</v>
      </c>
      <c r="AA156" s="53">
        <f t="shared" si="87"/>
        <v>-379677</v>
      </c>
      <c r="AB156" s="263"/>
      <c r="AC156" s="263"/>
    </row>
    <row r="157" spans="1:29" ht="48.75" thickBot="1" x14ac:dyDescent="0.3">
      <c r="A157" s="174" t="s">
        <v>346</v>
      </c>
      <c r="B157" s="102">
        <v>44644</v>
      </c>
      <c r="D157" t="s">
        <v>344</v>
      </c>
      <c r="E157" s="54">
        <f>E155+1</f>
        <v>90</v>
      </c>
      <c r="F157" s="179" t="s">
        <v>151</v>
      </c>
      <c r="G157" s="180">
        <v>3132</v>
      </c>
      <c r="H157" s="181">
        <f>SUM(I157:T157)</f>
        <v>400000</v>
      </c>
      <c r="I157" s="183"/>
      <c r="J157" s="183"/>
      <c r="K157" s="182">
        <v>50000</v>
      </c>
      <c r="L157" s="182">
        <v>350000</v>
      </c>
      <c r="M157" s="183"/>
      <c r="N157" s="183"/>
      <c r="O157" s="183"/>
      <c r="P157" s="183"/>
      <c r="Q157" s="183"/>
      <c r="R157" s="183"/>
      <c r="S157" s="59"/>
      <c r="T157" s="229"/>
      <c r="U157" s="39">
        <f t="shared" si="64"/>
        <v>400000</v>
      </c>
      <c r="V157" s="64"/>
      <c r="W157" s="64"/>
      <c r="X157" s="41">
        <f t="shared" ref="X157:X160" si="88">W157-V157</f>
        <v>0</v>
      </c>
      <c r="Y157" s="125">
        <f>25956</f>
        <v>25956</v>
      </c>
      <c r="Z157" s="41">
        <f t="shared" ref="Z157:Z160" si="89">Y157-V157</f>
        <v>25956</v>
      </c>
      <c r="AA157" s="42">
        <f t="shared" ref="AA157:AA160" si="90">Y157-U157</f>
        <v>-374044</v>
      </c>
      <c r="AB157" s="258"/>
      <c r="AC157" s="258"/>
    </row>
    <row r="158" spans="1:29" ht="45.75" thickBot="1" x14ac:dyDescent="0.3">
      <c r="E158" s="54">
        <f>E157+1</f>
        <v>91</v>
      </c>
      <c r="F158" s="184" t="s">
        <v>152</v>
      </c>
      <c r="G158" s="180">
        <v>3132</v>
      </c>
      <c r="H158" s="181">
        <f t="shared" ref="H158:H160" si="91">SUM(I158:T158)</f>
        <v>300000</v>
      </c>
      <c r="I158" s="182">
        <v>50000</v>
      </c>
      <c r="J158" s="183"/>
      <c r="K158" s="183"/>
      <c r="L158" s="183"/>
      <c r="M158" s="183"/>
      <c r="N158" s="183"/>
      <c r="O158" s="183"/>
      <c r="P158" s="182">
        <v>250000</v>
      </c>
      <c r="Q158" s="183"/>
      <c r="R158" s="183"/>
      <c r="S158" s="59"/>
      <c r="T158" s="229"/>
      <c r="U158" s="39">
        <f t="shared" si="64"/>
        <v>50000</v>
      </c>
      <c r="V158" s="128"/>
      <c r="W158" s="129"/>
      <c r="X158" s="41">
        <f t="shared" si="88"/>
        <v>0</v>
      </c>
      <c r="Y158" s="125">
        <f>28470</f>
        <v>28470</v>
      </c>
      <c r="Z158" s="41">
        <f t="shared" si="89"/>
        <v>28470</v>
      </c>
      <c r="AA158" s="42">
        <f t="shared" si="90"/>
        <v>-21530</v>
      </c>
      <c r="AB158" s="258"/>
      <c r="AC158" s="258"/>
    </row>
    <row r="159" spans="1:29" ht="45.75" thickBot="1" x14ac:dyDescent="0.3">
      <c r="A159" s="174" t="s">
        <v>346</v>
      </c>
      <c r="B159" s="102">
        <v>44644</v>
      </c>
      <c r="D159" t="s">
        <v>344</v>
      </c>
      <c r="E159" s="54">
        <f t="shared" ref="E159:E160" si="92">E158+1</f>
        <v>92</v>
      </c>
      <c r="F159" s="184" t="s">
        <v>280</v>
      </c>
      <c r="G159" s="180">
        <v>3132</v>
      </c>
      <c r="H159" s="181">
        <f t="shared" si="91"/>
        <v>500000</v>
      </c>
      <c r="I159" s="183"/>
      <c r="J159" s="183"/>
      <c r="K159" s="183"/>
      <c r="L159" s="183"/>
      <c r="M159" s="183"/>
      <c r="N159" s="183"/>
      <c r="O159" s="183"/>
      <c r="P159" s="183"/>
      <c r="Q159" s="182">
        <v>500000</v>
      </c>
      <c r="R159" s="183"/>
      <c r="S159" s="59"/>
      <c r="T159" s="229"/>
      <c r="U159" s="39">
        <f t="shared" si="64"/>
        <v>0</v>
      </c>
      <c r="V159" s="128"/>
      <c r="W159" s="129"/>
      <c r="X159" s="41">
        <f t="shared" si="88"/>
        <v>0</v>
      </c>
      <c r="Y159" s="176"/>
      <c r="Z159" s="41">
        <f t="shared" si="89"/>
        <v>0</v>
      </c>
      <c r="AA159" s="42">
        <f t="shared" si="90"/>
        <v>0</v>
      </c>
      <c r="AB159" s="258"/>
      <c r="AC159" s="258"/>
    </row>
    <row r="160" spans="1:29" ht="57" thickBot="1" x14ac:dyDescent="0.3">
      <c r="A160" s="174" t="s">
        <v>346</v>
      </c>
      <c r="B160" s="102">
        <v>44644</v>
      </c>
      <c r="D160" t="s">
        <v>344</v>
      </c>
      <c r="E160" s="54">
        <f t="shared" si="92"/>
        <v>93</v>
      </c>
      <c r="F160" s="184" t="s">
        <v>281</v>
      </c>
      <c r="G160" s="180">
        <v>3132</v>
      </c>
      <c r="H160" s="181">
        <f t="shared" si="91"/>
        <v>450000</v>
      </c>
      <c r="I160" s="183"/>
      <c r="J160" s="183"/>
      <c r="K160" s="183"/>
      <c r="L160" s="183"/>
      <c r="M160" s="183"/>
      <c r="N160" s="183"/>
      <c r="O160" s="183"/>
      <c r="P160" s="182">
        <v>450000</v>
      </c>
      <c r="Q160" s="183"/>
      <c r="R160" s="183"/>
      <c r="S160" s="59"/>
      <c r="T160" s="229"/>
      <c r="U160" s="39">
        <f t="shared" si="64"/>
        <v>0</v>
      </c>
      <c r="V160" s="128"/>
      <c r="W160" s="129"/>
      <c r="X160" s="41">
        <f t="shared" si="88"/>
        <v>0</v>
      </c>
      <c r="Y160" s="126">
        <v>15897</v>
      </c>
      <c r="Z160" s="41">
        <f t="shared" si="89"/>
        <v>15897</v>
      </c>
      <c r="AA160" s="42">
        <f t="shared" si="90"/>
        <v>15897</v>
      </c>
      <c r="AB160" s="258"/>
      <c r="AC160" s="258"/>
    </row>
    <row r="161" spans="1:31" ht="15.75" thickBot="1" x14ac:dyDescent="0.3">
      <c r="E161" s="127"/>
      <c r="F161" s="131" t="s">
        <v>245</v>
      </c>
      <c r="G161" s="480">
        <f>SUM(I161:T161)</f>
        <v>32028864</v>
      </c>
      <c r="H161" s="481"/>
      <c r="I161" s="132">
        <f>SUM(I156+I150+I148+I128+I123+I95+I78+I56)</f>
        <v>2809131</v>
      </c>
      <c r="J161" s="132">
        <f>SUM(J156+J150+J148+J128+J123+J95+J78+J56)</f>
        <v>6766450</v>
      </c>
      <c r="K161" s="132">
        <f t="shared" ref="K161:T161" si="93">SUM(K156+K150+K148+K128+K123+K95+K78+K56)</f>
        <v>4101500</v>
      </c>
      <c r="L161" s="132">
        <f t="shared" si="93"/>
        <v>3872500</v>
      </c>
      <c r="M161" s="132">
        <f t="shared" si="93"/>
        <v>2068896</v>
      </c>
      <c r="N161" s="132">
        <f t="shared" si="93"/>
        <v>100000</v>
      </c>
      <c r="O161" s="132">
        <f t="shared" si="93"/>
        <v>2018387</v>
      </c>
      <c r="P161" s="132">
        <f t="shared" si="93"/>
        <v>2525000</v>
      </c>
      <c r="Q161" s="132">
        <f t="shared" si="93"/>
        <v>775000</v>
      </c>
      <c r="R161" s="132">
        <f t="shared" si="93"/>
        <v>2574000</v>
      </c>
      <c r="S161" s="132">
        <f t="shared" si="93"/>
        <v>1073000</v>
      </c>
      <c r="T161" s="232">
        <f t="shared" si="93"/>
        <v>3345000</v>
      </c>
      <c r="U161" s="39">
        <f t="shared" si="64"/>
        <v>21736864</v>
      </c>
      <c r="V161" s="132">
        <f t="shared" ref="V161:AA161" si="94">V156+V150+V148+V128+V123+V95+V78+V56</f>
        <v>2151576.34</v>
      </c>
      <c r="W161" s="132">
        <f t="shared" si="94"/>
        <v>2151576.34</v>
      </c>
      <c r="X161" s="132">
        <f t="shared" si="94"/>
        <v>0</v>
      </c>
      <c r="Y161" s="132">
        <f t="shared" si="94"/>
        <v>6695550.8300000001</v>
      </c>
      <c r="Z161" s="132">
        <f>Z156+Z150+Z148+Z128+Z123+Z95+Z78+Z56</f>
        <v>4543974.4899999993</v>
      </c>
      <c r="AA161" s="132">
        <f t="shared" si="94"/>
        <v>-15041313.17</v>
      </c>
      <c r="AB161" s="265"/>
      <c r="AC161" s="265"/>
    </row>
    <row r="162" spans="1:31" ht="15.75" thickBot="1" x14ac:dyDescent="0.3">
      <c r="E162" s="62"/>
      <c r="F162" s="130" t="s">
        <v>246</v>
      </c>
      <c r="G162" s="480">
        <f>G161</f>
        <v>32028864</v>
      </c>
      <c r="H162" s="481"/>
      <c r="I162" s="132">
        <f>I161</f>
        <v>2809131</v>
      </c>
      <c r="J162" s="132">
        <f t="shared" ref="J162:T162" si="95">J161</f>
        <v>6766450</v>
      </c>
      <c r="K162" s="132">
        <f t="shared" si="95"/>
        <v>4101500</v>
      </c>
      <c r="L162" s="132">
        <f t="shared" si="95"/>
        <v>3872500</v>
      </c>
      <c r="M162" s="132">
        <f t="shared" si="95"/>
        <v>2068896</v>
      </c>
      <c r="N162" s="132">
        <f t="shared" si="95"/>
        <v>100000</v>
      </c>
      <c r="O162" s="132">
        <f t="shared" si="95"/>
        <v>2018387</v>
      </c>
      <c r="P162" s="132">
        <f t="shared" si="95"/>
        <v>2525000</v>
      </c>
      <c r="Q162" s="132">
        <f t="shared" si="95"/>
        <v>775000</v>
      </c>
      <c r="R162" s="132">
        <f t="shared" si="95"/>
        <v>2574000</v>
      </c>
      <c r="S162" s="132">
        <f t="shared" si="95"/>
        <v>1073000</v>
      </c>
      <c r="T162" s="232">
        <f t="shared" si="95"/>
        <v>3345000</v>
      </c>
      <c r="U162" s="39">
        <f t="shared" si="64"/>
        <v>21736864</v>
      </c>
      <c r="V162" s="134">
        <f t="shared" ref="V162:AA162" si="96">V161</f>
        <v>2151576.34</v>
      </c>
      <c r="W162" s="134">
        <f t="shared" si="96"/>
        <v>2151576.34</v>
      </c>
      <c r="X162" s="134">
        <f t="shared" si="96"/>
        <v>0</v>
      </c>
      <c r="Y162" s="134">
        <f t="shared" si="96"/>
        <v>6695550.8300000001</v>
      </c>
      <c r="Z162" s="134">
        <f t="shared" si="96"/>
        <v>4543974.4899999993</v>
      </c>
      <c r="AA162" s="134">
        <f t="shared" si="96"/>
        <v>-15041313.17</v>
      </c>
      <c r="AB162" s="266"/>
      <c r="AC162" s="266"/>
      <c r="AD162" s="103">
        <v>69409.429999999702</v>
      </c>
    </row>
    <row r="163" spans="1:31" ht="15.75" thickBot="1" x14ac:dyDescent="0.3">
      <c r="F163" s="131" t="s">
        <v>337</v>
      </c>
      <c r="G163" s="482">
        <v>1019450</v>
      </c>
      <c r="H163" s="483"/>
      <c r="I163" s="150"/>
      <c r="J163" s="151">
        <v>1019450</v>
      </c>
      <c r="K163" s="150"/>
      <c r="L163" s="150"/>
      <c r="M163" s="152"/>
      <c r="N163" s="152"/>
      <c r="O163" s="152"/>
      <c r="P163" s="152"/>
      <c r="Q163" s="152"/>
      <c r="R163" s="152"/>
      <c r="S163" s="152"/>
      <c r="T163" s="233"/>
      <c r="U163" s="39">
        <f t="shared" si="64"/>
        <v>1019450</v>
      </c>
    </row>
    <row r="164" spans="1:31" ht="33.75" customHeight="1" thickTop="1" thickBot="1" x14ac:dyDescent="0.3">
      <c r="A164" s="3" t="s">
        <v>0</v>
      </c>
      <c r="B164" s="3" t="s">
        <v>1</v>
      </c>
      <c r="C164" s="3"/>
      <c r="D164" s="4" t="s">
        <v>3</v>
      </c>
      <c r="E164" s="83">
        <v>3116090</v>
      </c>
      <c r="F164" s="5" t="s">
        <v>153</v>
      </c>
      <c r="G164" s="6" t="s">
        <v>6</v>
      </c>
      <c r="H164" s="7" t="s">
        <v>155</v>
      </c>
      <c r="I164" s="8" t="s">
        <v>7</v>
      </c>
      <c r="J164" s="9" t="s">
        <v>8</v>
      </c>
      <c r="K164" s="9" t="s">
        <v>9</v>
      </c>
      <c r="L164" s="8" t="s">
        <v>10</v>
      </c>
      <c r="M164" s="8" t="s">
        <v>11</v>
      </c>
      <c r="N164" s="10" t="s">
        <v>12</v>
      </c>
      <c r="O164" s="11" t="s">
        <v>13</v>
      </c>
      <c r="P164" s="12" t="s">
        <v>14</v>
      </c>
      <c r="Q164" s="12" t="s">
        <v>15</v>
      </c>
      <c r="R164" s="12" t="s">
        <v>16</v>
      </c>
      <c r="S164" s="12" t="s">
        <v>17</v>
      </c>
      <c r="T164" s="221" t="s">
        <v>18</v>
      </c>
      <c r="U164" s="7" t="s">
        <v>426</v>
      </c>
      <c r="V164" s="7" t="s">
        <v>19</v>
      </c>
      <c r="W164" s="7" t="s">
        <v>20</v>
      </c>
      <c r="X164" s="7" t="s">
        <v>21</v>
      </c>
      <c r="Y164" s="5" t="s">
        <v>22</v>
      </c>
      <c r="Z164" s="14" t="s">
        <v>23</v>
      </c>
      <c r="AA164" s="14" t="s">
        <v>24</v>
      </c>
      <c r="AB164" s="255"/>
      <c r="AC164" s="255"/>
      <c r="AD164" s="69"/>
      <c r="AE164" s="43"/>
    </row>
    <row r="165" spans="1:31" ht="16.5" thickTop="1" thickBot="1" x14ac:dyDescent="0.3">
      <c r="A165" s="1"/>
      <c r="B165" s="1"/>
      <c r="C165" s="1"/>
      <c r="D165" s="2"/>
      <c r="E165" s="65"/>
      <c r="F165" s="66" t="s">
        <v>154</v>
      </c>
      <c r="G165" s="67">
        <v>2240</v>
      </c>
      <c r="H165" s="68">
        <f>SUM(H166:H169)</f>
        <v>300000</v>
      </c>
      <c r="I165" s="68">
        <f t="shared" ref="I165:AA165" si="97">SUM(I166:I169)</f>
        <v>0</v>
      </c>
      <c r="J165" s="68">
        <f t="shared" si="97"/>
        <v>45820</v>
      </c>
      <c r="K165" s="68">
        <f t="shared" si="97"/>
        <v>45820</v>
      </c>
      <c r="L165" s="68">
        <f t="shared" si="97"/>
        <v>11820</v>
      </c>
      <c r="M165" s="68">
        <f t="shared" si="97"/>
        <v>0</v>
      </c>
      <c r="N165" s="68">
        <f t="shared" si="97"/>
        <v>0</v>
      </c>
      <c r="O165" s="68">
        <f t="shared" si="97"/>
        <v>0</v>
      </c>
      <c r="P165" s="68">
        <f t="shared" si="97"/>
        <v>15280</v>
      </c>
      <c r="Q165" s="68">
        <f t="shared" si="97"/>
        <v>45820</v>
      </c>
      <c r="R165" s="68">
        <f t="shared" si="97"/>
        <v>44820</v>
      </c>
      <c r="S165" s="68">
        <f t="shared" si="97"/>
        <v>45820</v>
      </c>
      <c r="T165" s="234">
        <f t="shared" si="97"/>
        <v>44800</v>
      </c>
      <c r="U165" s="39">
        <f t="shared" si="64"/>
        <v>103460</v>
      </c>
      <c r="V165" s="68">
        <f t="shared" si="97"/>
        <v>0</v>
      </c>
      <c r="W165" s="68">
        <f t="shared" si="97"/>
        <v>0</v>
      </c>
      <c r="X165" s="68">
        <f t="shared" si="97"/>
        <v>0</v>
      </c>
      <c r="Y165" s="68">
        <f t="shared" si="97"/>
        <v>0</v>
      </c>
      <c r="Z165" s="68">
        <f t="shared" si="97"/>
        <v>0</v>
      </c>
      <c r="AA165" s="68">
        <f t="shared" si="97"/>
        <v>-103460</v>
      </c>
      <c r="AB165" s="267"/>
      <c r="AC165" s="267"/>
      <c r="AD165" s="43"/>
      <c r="AE165" s="43"/>
    </row>
    <row r="166" spans="1:31" ht="68.25" thickBot="1" x14ac:dyDescent="0.3">
      <c r="E166" s="72" t="s">
        <v>160</v>
      </c>
      <c r="F166" s="70" t="s">
        <v>156</v>
      </c>
      <c r="G166" s="75">
        <v>2240</v>
      </c>
      <c r="H166" s="68">
        <f>SUM(I166:T166)</f>
        <v>100000</v>
      </c>
      <c r="I166" s="76"/>
      <c r="J166" s="76">
        <v>20000</v>
      </c>
      <c r="K166" s="76">
        <v>40000</v>
      </c>
      <c r="L166" s="76">
        <v>6000</v>
      </c>
      <c r="M166" s="76"/>
      <c r="N166" s="76"/>
      <c r="O166" s="76"/>
      <c r="P166" s="76"/>
      <c r="Q166" s="76"/>
      <c r="R166" s="76"/>
      <c r="S166" s="76">
        <v>34000</v>
      </c>
      <c r="T166" s="235"/>
      <c r="U166" s="39">
        <f t="shared" si="64"/>
        <v>66000</v>
      </c>
      <c r="V166" s="64"/>
      <c r="W166" s="64"/>
      <c r="X166" s="41">
        <f t="shared" ref="X166:X170" si="98">W166-V166</f>
        <v>0</v>
      </c>
      <c r="Y166" s="64"/>
      <c r="Z166" s="41">
        <f t="shared" ref="Z166:Z170" si="99">Y166-V166</f>
        <v>0</v>
      </c>
      <c r="AA166" s="42">
        <f t="shared" ref="AA166:AA170" si="100">Y166-U166</f>
        <v>-66000</v>
      </c>
      <c r="AB166" s="258"/>
      <c r="AC166" s="258"/>
    </row>
    <row r="167" spans="1:31" ht="45.75" thickBot="1" x14ac:dyDescent="0.3">
      <c r="E167" s="72" t="s">
        <v>161</v>
      </c>
      <c r="F167" s="71" t="s">
        <v>157</v>
      </c>
      <c r="G167" s="75">
        <v>2240</v>
      </c>
      <c r="H167" s="68">
        <f t="shared" ref="H167:H170" si="101">SUM(I167:T167)</f>
        <v>102000</v>
      </c>
      <c r="I167" s="76"/>
      <c r="J167" s="76">
        <v>25820</v>
      </c>
      <c r="K167" s="76">
        <v>5820</v>
      </c>
      <c r="L167" s="76">
        <v>5820</v>
      </c>
      <c r="M167" s="76"/>
      <c r="N167" s="76"/>
      <c r="O167" s="76"/>
      <c r="P167" s="76">
        <v>15280</v>
      </c>
      <c r="Q167" s="76">
        <v>45820</v>
      </c>
      <c r="R167" s="76">
        <v>3440</v>
      </c>
      <c r="S167" s="76"/>
      <c r="T167" s="235"/>
      <c r="U167" s="39">
        <f t="shared" si="64"/>
        <v>37460</v>
      </c>
      <c r="V167" s="64"/>
      <c r="W167" s="64"/>
      <c r="X167" s="41">
        <f t="shared" si="98"/>
        <v>0</v>
      </c>
      <c r="Y167" s="64"/>
      <c r="Z167" s="41">
        <f t="shared" si="99"/>
        <v>0</v>
      </c>
      <c r="AA167" s="42">
        <f t="shared" si="100"/>
        <v>-37460</v>
      </c>
      <c r="AB167" s="258"/>
      <c r="AC167" s="258"/>
    </row>
    <row r="168" spans="1:31" ht="34.5" thickBot="1" x14ac:dyDescent="0.3">
      <c r="E168" s="72" t="s">
        <v>162</v>
      </c>
      <c r="F168" s="71" t="s">
        <v>158</v>
      </c>
      <c r="G168" s="75">
        <v>2240</v>
      </c>
      <c r="H168" s="68">
        <f t="shared" si="101"/>
        <v>49000</v>
      </c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>
        <v>4200</v>
      </c>
      <c r="T168" s="235">
        <v>44800</v>
      </c>
      <c r="U168" s="39">
        <f t="shared" si="64"/>
        <v>0</v>
      </c>
      <c r="V168" s="64"/>
      <c r="W168" s="64"/>
      <c r="X168" s="41">
        <f t="shared" si="98"/>
        <v>0</v>
      </c>
      <c r="Y168" s="64"/>
      <c r="Z168" s="41">
        <f t="shared" si="99"/>
        <v>0</v>
      </c>
      <c r="AA168" s="42">
        <f t="shared" si="100"/>
        <v>0</v>
      </c>
      <c r="AB168" s="258"/>
      <c r="AC168" s="258"/>
    </row>
    <row r="169" spans="1:31" ht="45.75" thickBot="1" x14ac:dyDescent="0.3">
      <c r="E169" s="72" t="s">
        <v>163</v>
      </c>
      <c r="F169" s="71" t="s">
        <v>159</v>
      </c>
      <c r="G169" s="75">
        <v>2240</v>
      </c>
      <c r="H169" s="68">
        <f t="shared" si="101"/>
        <v>49000</v>
      </c>
      <c r="I169" s="76"/>
      <c r="J169" s="76"/>
      <c r="K169" s="76"/>
      <c r="L169" s="76"/>
      <c r="M169" s="76"/>
      <c r="N169" s="76"/>
      <c r="O169" s="76"/>
      <c r="P169" s="76"/>
      <c r="Q169" s="76"/>
      <c r="R169" s="76">
        <v>41380</v>
      </c>
      <c r="S169" s="76">
        <v>7620</v>
      </c>
      <c r="T169" s="235"/>
      <c r="U169" s="39">
        <f t="shared" si="64"/>
        <v>0</v>
      </c>
      <c r="V169" s="64"/>
      <c r="W169" s="64"/>
      <c r="X169" s="41">
        <f t="shared" si="98"/>
        <v>0</v>
      </c>
      <c r="Y169" s="64"/>
      <c r="Z169" s="41">
        <f t="shared" si="99"/>
        <v>0</v>
      </c>
      <c r="AA169" s="42">
        <f t="shared" si="100"/>
        <v>0</v>
      </c>
      <c r="AB169" s="258"/>
      <c r="AC169" s="258"/>
    </row>
    <row r="170" spans="1:31" ht="45.75" thickBot="1" x14ac:dyDescent="0.3">
      <c r="A170" t="s">
        <v>415</v>
      </c>
      <c r="B170" s="102">
        <v>44728</v>
      </c>
      <c r="C170">
        <v>200000</v>
      </c>
      <c r="D170" t="s">
        <v>412</v>
      </c>
      <c r="E170" s="73" t="s">
        <v>165</v>
      </c>
      <c r="F170" s="74" t="s">
        <v>164</v>
      </c>
      <c r="G170" s="75">
        <v>2240</v>
      </c>
      <c r="H170" s="68">
        <f t="shared" si="101"/>
        <v>200000</v>
      </c>
      <c r="I170" s="76"/>
      <c r="J170" s="76"/>
      <c r="K170" s="76"/>
      <c r="L170" s="76">
        <v>34000</v>
      </c>
      <c r="M170" s="76">
        <v>44820</v>
      </c>
      <c r="N170" s="76">
        <v>44820</v>
      </c>
      <c r="O170" s="76">
        <v>45820</v>
      </c>
      <c r="P170" s="76">
        <v>30540</v>
      </c>
      <c r="Q170" s="76"/>
      <c r="R170" s="76"/>
      <c r="S170" s="76"/>
      <c r="T170" s="235"/>
      <c r="U170" s="39">
        <f t="shared" si="64"/>
        <v>169460</v>
      </c>
      <c r="V170" s="77"/>
      <c r="W170" s="77"/>
      <c r="X170" s="78">
        <f t="shared" si="98"/>
        <v>0</v>
      </c>
      <c r="Y170" s="77">
        <f>66322.77</f>
        <v>66322.77</v>
      </c>
      <c r="Z170" s="78">
        <f t="shared" si="99"/>
        <v>66322.77</v>
      </c>
      <c r="AA170" s="42">
        <f t="shared" si="100"/>
        <v>-103137.23</v>
      </c>
      <c r="AB170" s="258"/>
      <c r="AC170" s="258"/>
    </row>
    <row r="171" spans="1:31" ht="15.75" thickBot="1" x14ac:dyDescent="0.3">
      <c r="A171" s="1"/>
      <c r="B171" s="1"/>
      <c r="C171" s="1"/>
      <c r="D171" s="2"/>
      <c r="E171" s="81"/>
      <c r="F171" s="82" t="s">
        <v>167</v>
      </c>
      <c r="G171" s="75"/>
      <c r="H171" s="68">
        <f>SUM(H166:H170)</f>
        <v>500000</v>
      </c>
      <c r="I171" s="68">
        <f t="shared" ref="I171:AA171" si="102">SUM(I166:I170)</f>
        <v>0</v>
      </c>
      <c r="J171" s="68">
        <f t="shared" si="102"/>
        <v>45820</v>
      </c>
      <c r="K171" s="68">
        <f t="shared" si="102"/>
        <v>45820</v>
      </c>
      <c r="L171" s="68">
        <f t="shared" si="102"/>
        <v>45820</v>
      </c>
      <c r="M171" s="68">
        <f t="shared" si="102"/>
        <v>44820</v>
      </c>
      <c r="N171" s="68">
        <f t="shared" si="102"/>
        <v>44820</v>
      </c>
      <c r="O171" s="68">
        <f t="shared" si="102"/>
        <v>45820</v>
      </c>
      <c r="P171" s="68">
        <f t="shared" si="102"/>
        <v>45820</v>
      </c>
      <c r="Q171" s="68">
        <f t="shared" si="102"/>
        <v>45820</v>
      </c>
      <c r="R171" s="68">
        <f t="shared" si="102"/>
        <v>44820</v>
      </c>
      <c r="S171" s="68">
        <f t="shared" si="102"/>
        <v>45820</v>
      </c>
      <c r="T171" s="234">
        <f t="shared" si="102"/>
        <v>44800</v>
      </c>
      <c r="U171" s="68">
        <f t="shared" si="102"/>
        <v>272920</v>
      </c>
      <c r="V171" s="68">
        <f t="shared" si="102"/>
        <v>0</v>
      </c>
      <c r="W171" s="68">
        <f t="shared" si="102"/>
        <v>0</v>
      </c>
      <c r="X171" s="68">
        <f t="shared" si="102"/>
        <v>0</v>
      </c>
      <c r="Y171" s="68">
        <f t="shared" si="102"/>
        <v>66322.77</v>
      </c>
      <c r="Z171" s="68">
        <f t="shared" si="102"/>
        <v>66322.77</v>
      </c>
      <c r="AA171" s="68">
        <f t="shared" si="102"/>
        <v>-206597.22999999998</v>
      </c>
      <c r="AB171" s="267"/>
      <c r="AC171" s="267"/>
      <c r="AD171" s="43"/>
      <c r="AE171" s="43"/>
    </row>
    <row r="172" spans="1:31" ht="15.75" thickBot="1" x14ac:dyDescent="0.3">
      <c r="E172" s="73"/>
      <c r="F172" s="79" t="s">
        <v>166</v>
      </c>
      <c r="H172" s="80">
        <f>H170+H165</f>
        <v>500000</v>
      </c>
      <c r="I172" s="80">
        <f t="shared" ref="I172:AA172" si="103">I170+I165</f>
        <v>0</v>
      </c>
      <c r="J172" s="80">
        <f t="shared" si="103"/>
        <v>45820</v>
      </c>
      <c r="K172" s="80">
        <f t="shared" si="103"/>
        <v>45820</v>
      </c>
      <c r="L172" s="80">
        <f t="shared" si="103"/>
        <v>45820</v>
      </c>
      <c r="M172" s="80">
        <f t="shared" si="103"/>
        <v>44820</v>
      </c>
      <c r="N172" s="80">
        <f t="shared" si="103"/>
        <v>44820</v>
      </c>
      <c r="O172" s="80">
        <f t="shared" si="103"/>
        <v>45820</v>
      </c>
      <c r="P172" s="80">
        <f t="shared" si="103"/>
        <v>45820</v>
      </c>
      <c r="Q172" s="80">
        <f t="shared" si="103"/>
        <v>45820</v>
      </c>
      <c r="R172" s="80">
        <f t="shared" si="103"/>
        <v>44820</v>
      </c>
      <c r="S172" s="80">
        <f t="shared" si="103"/>
        <v>45820</v>
      </c>
      <c r="T172" s="236">
        <f t="shared" si="103"/>
        <v>44800</v>
      </c>
      <c r="U172" s="80">
        <f t="shared" si="103"/>
        <v>272920</v>
      </c>
      <c r="V172" s="80">
        <f t="shared" si="103"/>
        <v>0</v>
      </c>
      <c r="W172" s="80">
        <f t="shared" si="103"/>
        <v>0</v>
      </c>
      <c r="X172" s="80">
        <f t="shared" si="103"/>
        <v>0</v>
      </c>
      <c r="Y172" s="80">
        <f t="shared" si="103"/>
        <v>66322.77</v>
      </c>
      <c r="Z172" s="80">
        <f t="shared" si="103"/>
        <v>66322.77</v>
      </c>
      <c r="AA172" s="80">
        <f t="shared" si="103"/>
        <v>-206597.22999999998</v>
      </c>
      <c r="AB172" s="268"/>
      <c r="AC172" s="268"/>
    </row>
    <row r="173" spans="1:31" ht="35.25" thickTop="1" thickBot="1" x14ac:dyDescent="0.3">
      <c r="A173" s="3" t="s">
        <v>0</v>
      </c>
      <c r="B173" s="3" t="s">
        <v>1</v>
      </c>
      <c r="C173" s="3"/>
      <c r="D173" s="4" t="s">
        <v>3</v>
      </c>
      <c r="E173" s="83">
        <v>3117310</v>
      </c>
      <c r="F173" s="445" t="s">
        <v>404</v>
      </c>
      <c r="G173" s="446"/>
      <c r="H173" s="7" t="s">
        <v>155</v>
      </c>
      <c r="I173" s="8" t="s">
        <v>7</v>
      </c>
      <c r="J173" s="9" t="s">
        <v>8</v>
      </c>
      <c r="K173" s="9" t="s">
        <v>9</v>
      </c>
      <c r="L173" s="8" t="s">
        <v>10</v>
      </c>
      <c r="M173" s="8" t="s">
        <v>11</v>
      </c>
      <c r="N173" s="10" t="s">
        <v>12</v>
      </c>
      <c r="O173" s="11" t="s">
        <v>13</v>
      </c>
      <c r="P173" s="12" t="s">
        <v>14</v>
      </c>
      <c r="Q173" s="12" t="s">
        <v>15</v>
      </c>
      <c r="R173" s="13" t="s">
        <v>16</v>
      </c>
      <c r="S173" s="8" t="s">
        <v>17</v>
      </c>
      <c r="T173" s="221" t="s">
        <v>18</v>
      </c>
      <c r="U173" s="7" t="s">
        <v>426</v>
      </c>
      <c r="V173" s="7" t="s">
        <v>19</v>
      </c>
      <c r="W173" s="7" t="s">
        <v>20</v>
      </c>
      <c r="X173" s="7" t="s">
        <v>21</v>
      </c>
      <c r="Y173" s="5" t="s">
        <v>22</v>
      </c>
      <c r="Z173" s="14" t="s">
        <v>23</v>
      </c>
      <c r="AA173" s="14" t="s">
        <v>24</v>
      </c>
      <c r="AB173" s="255"/>
      <c r="AC173" s="255"/>
    </row>
    <row r="174" spans="1:31" ht="73.5" thickTop="1" thickBot="1" x14ac:dyDescent="0.3">
      <c r="E174" s="85">
        <v>1</v>
      </c>
      <c r="F174" s="212" t="s">
        <v>400</v>
      </c>
      <c r="G174" s="85">
        <v>3122</v>
      </c>
      <c r="H174" s="136">
        <f>SUM(I174:T174)</f>
        <v>50000</v>
      </c>
      <c r="I174" s="88"/>
      <c r="J174" s="88"/>
      <c r="K174" s="87"/>
      <c r="L174" s="87">
        <v>50000</v>
      </c>
      <c r="M174" s="88"/>
      <c r="N174" s="87"/>
      <c r="O174" s="87"/>
      <c r="P174" s="87"/>
      <c r="Q174" s="88"/>
      <c r="R174" s="87"/>
      <c r="S174" s="87"/>
      <c r="T174" s="229"/>
      <c r="U174" s="39">
        <f>I174+J174+K174+L174+M174+N174+O174</f>
        <v>50000</v>
      </c>
      <c r="V174" s="77"/>
      <c r="W174" s="77"/>
      <c r="X174" s="78">
        <f t="shared" ref="X174:X175" si="104">W174-V174</f>
        <v>0</v>
      </c>
      <c r="Y174" s="77"/>
      <c r="Z174" s="78">
        <f t="shared" ref="Z174:Z175" si="105">Y174-V174</f>
        <v>0</v>
      </c>
      <c r="AA174" s="42">
        <f t="shared" ref="AA174:AA175" si="106">Y174-U174</f>
        <v>-50000</v>
      </c>
      <c r="AB174" s="258"/>
      <c r="AC174" s="258"/>
    </row>
    <row r="175" spans="1:31" ht="84.75" thickBot="1" x14ac:dyDescent="0.3">
      <c r="E175" s="85">
        <f>E174+1</f>
        <v>2</v>
      </c>
      <c r="F175" s="212" t="s">
        <v>401</v>
      </c>
      <c r="G175" s="85">
        <v>3122</v>
      </c>
      <c r="H175" s="136">
        <f>SUM(I175:T175)</f>
        <v>50000</v>
      </c>
      <c r="I175" s="87"/>
      <c r="J175" s="88"/>
      <c r="K175" s="88"/>
      <c r="L175" s="88">
        <v>50000</v>
      </c>
      <c r="M175" s="88"/>
      <c r="N175" s="88"/>
      <c r="O175" s="88"/>
      <c r="P175" s="88"/>
      <c r="Q175" s="87"/>
      <c r="R175" s="87"/>
      <c r="S175" s="87"/>
      <c r="T175" s="229"/>
      <c r="U175" s="39">
        <f>I175+J175+K175+L175+M175+N175+O175</f>
        <v>50000</v>
      </c>
      <c r="V175" s="77"/>
      <c r="W175" s="77"/>
      <c r="X175" s="78">
        <f t="shared" si="104"/>
        <v>0</v>
      </c>
      <c r="Y175" s="77"/>
      <c r="Z175" s="78">
        <f t="shared" si="105"/>
        <v>0</v>
      </c>
      <c r="AA175" s="42">
        <f t="shared" si="106"/>
        <v>-50000</v>
      </c>
      <c r="AB175" s="258"/>
      <c r="AC175" s="258"/>
    </row>
    <row r="176" spans="1:31" ht="15.75" thickBot="1" x14ac:dyDescent="0.3">
      <c r="A176" s="1"/>
      <c r="B176" s="1"/>
      <c r="C176" s="1"/>
      <c r="D176" s="2"/>
      <c r="E176" s="81"/>
      <c r="F176" s="82" t="s">
        <v>177</v>
      </c>
      <c r="G176" s="75"/>
      <c r="H176" s="68">
        <f>H175+H174</f>
        <v>100000</v>
      </c>
      <c r="I176" s="68">
        <f t="shared" ref="I176:AA176" si="107">I175+I174</f>
        <v>0</v>
      </c>
      <c r="J176" s="68">
        <f t="shared" si="107"/>
        <v>0</v>
      </c>
      <c r="K176" s="68">
        <f t="shared" si="107"/>
        <v>0</v>
      </c>
      <c r="L176" s="68">
        <f t="shared" si="107"/>
        <v>100000</v>
      </c>
      <c r="M176" s="68">
        <f t="shared" si="107"/>
        <v>0</v>
      </c>
      <c r="N176" s="68">
        <f t="shared" si="107"/>
        <v>0</v>
      </c>
      <c r="O176" s="68">
        <f t="shared" si="107"/>
        <v>0</v>
      </c>
      <c r="P176" s="68">
        <f t="shared" si="107"/>
        <v>0</v>
      </c>
      <c r="Q176" s="68">
        <f t="shared" si="107"/>
        <v>0</v>
      </c>
      <c r="R176" s="68">
        <f t="shared" si="107"/>
        <v>0</v>
      </c>
      <c r="S176" s="68">
        <f t="shared" si="107"/>
        <v>0</v>
      </c>
      <c r="T176" s="234">
        <f t="shared" si="107"/>
        <v>0</v>
      </c>
      <c r="U176" s="68">
        <f t="shared" si="107"/>
        <v>100000</v>
      </c>
      <c r="V176" s="68">
        <f t="shared" si="107"/>
        <v>0</v>
      </c>
      <c r="W176" s="68">
        <f t="shared" si="107"/>
        <v>0</v>
      </c>
      <c r="X176" s="68">
        <f t="shared" si="107"/>
        <v>0</v>
      </c>
      <c r="Y176" s="68">
        <f t="shared" si="107"/>
        <v>0</v>
      </c>
      <c r="Z176" s="68">
        <f t="shared" si="107"/>
        <v>0</v>
      </c>
      <c r="AA176" s="68">
        <f t="shared" si="107"/>
        <v>-100000</v>
      </c>
      <c r="AB176" s="267"/>
      <c r="AC176" s="267"/>
      <c r="AD176" s="43"/>
      <c r="AE176" s="43"/>
    </row>
    <row r="177" spans="1:29" ht="15.75" thickBot="1" x14ac:dyDescent="0.3">
      <c r="E177" s="73"/>
      <c r="F177" s="79" t="s">
        <v>402</v>
      </c>
      <c r="H177" s="80">
        <f>H176</f>
        <v>100000</v>
      </c>
      <c r="I177" s="80">
        <f t="shared" ref="I177:AA177" si="108">I176</f>
        <v>0</v>
      </c>
      <c r="J177" s="80">
        <f t="shared" si="108"/>
        <v>0</v>
      </c>
      <c r="K177" s="80">
        <f t="shared" si="108"/>
        <v>0</v>
      </c>
      <c r="L177" s="80">
        <f t="shared" si="108"/>
        <v>100000</v>
      </c>
      <c r="M177" s="80">
        <f t="shared" si="108"/>
        <v>0</v>
      </c>
      <c r="N177" s="80">
        <f t="shared" si="108"/>
        <v>0</v>
      </c>
      <c r="O177" s="80">
        <f t="shared" si="108"/>
        <v>0</v>
      </c>
      <c r="P177" s="80">
        <f t="shared" si="108"/>
        <v>0</v>
      </c>
      <c r="Q177" s="80">
        <f t="shared" si="108"/>
        <v>0</v>
      </c>
      <c r="R177" s="80">
        <f t="shared" si="108"/>
        <v>0</v>
      </c>
      <c r="S177" s="80">
        <f t="shared" si="108"/>
        <v>0</v>
      </c>
      <c r="T177" s="236">
        <f t="shared" si="108"/>
        <v>0</v>
      </c>
      <c r="U177" s="80">
        <f t="shared" si="108"/>
        <v>100000</v>
      </c>
      <c r="V177" s="80">
        <f t="shared" si="108"/>
        <v>0</v>
      </c>
      <c r="W177" s="80">
        <f t="shared" si="108"/>
        <v>0</v>
      </c>
      <c r="X177" s="80">
        <f t="shared" si="108"/>
        <v>0</v>
      </c>
      <c r="Y177" s="80">
        <f t="shared" si="108"/>
        <v>0</v>
      </c>
      <c r="Z177" s="80">
        <f t="shared" si="108"/>
        <v>0</v>
      </c>
      <c r="AA177" s="80">
        <f t="shared" si="108"/>
        <v>-100000</v>
      </c>
      <c r="AB177" s="268"/>
      <c r="AC177" s="268"/>
    </row>
    <row r="178" spans="1:29" ht="35.25" thickTop="1" thickBot="1" x14ac:dyDescent="0.3">
      <c r="A178" s="3" t="s">
        <v>0</v>
      </c>
      <c r="B178" s="3" t="s">
        <v>1</v>
      </c>
      <c r="C178" s="3"/>
      <c r="D178" s="4" t="s">
        <v>3</v>
      </c>
      <c r="E178" s="83">
        <v>3117321</v>
      </c>
      <c r="F178" s="445" t="s">
        <v>296</v>
      </c>
      <c r="G178" s="446"/>
      <c r="H178" s="7" t="s">
        <v>155</v>
      </c>
      <c r="I178" s="8" t="s">
        <v>7</v>
      </c>
      <c r="J178" s="9" t="s">
        <v>8</v>
      </c>
      <c r="K178" s="9" t="s">
        <v>9</v>
      </c>
      <c r="L178" s="8" t="s">
        <v>10</v>
      </c>
      <c r="M178" s="8" t="s">
        <v>11</v>
      </c>
      <c r="N178" s="10" t="s">
        <v>12</v>
      </c>
      <c r="O178" s="11" t="s">
        <v>13</v>
      </c>
      <c r="P178" s="12" t="s">
        <v>14</v>
      </c>
      <c r="Q178" s="12" t="s">
        <v>15</v>
      </c>
      <c r="R178" s="13" t="s">
        <v>16</v>
      </c>
      <c r="S178" s="8" t="s">
        <v>17</v>
      </c>
      <c r="T178" s="221" t="s">
        <v>18</v>
      </c>
      <c r="U178" s="7" t="s">
        <v>380</v>
      </c>
      <c r="V178" s="7" t="s">
        <v>19</v>
      </c>
      <c r="W178" s="7" t="s">
        <v>20</v>
      </c>
      <c r="X178" s="7" t="s">
        <v>21</v>
      </c>
      <c r="Y178" s="5" t="s">
        <v>22</v>
      </c>
      <c r="Z178" s="14" t="s">
        <v>23</v>
      </c>
      <c r="AA178" s="14" t="s">
        <v>24</v>
      </c>
      <c r="AB178" s="255"/>
      <c r="AC178" s="255"/>
    </row>
    <row r="179" spans="1:29" ht="69" thickTop="1" thickBot="1" x14ac:dyDescent="0.3">
      <c r="E179" s="85">
        <v>1</v>
      </c>
      <c r="F179" s="71" t="s">
        <v>297</v>
      </c>
      <c r="G179" s="85">
        <v>3122</v>
      </c>
      <c r="H179" s="136">
        <v>400000</v>
      </c>
      <c r="I179" s="214">
        <v>50000</v>
      </c>
      <c r="J179" s="214">
        <v>50000</v>
      </c>
      <c r="K179" s="214"/>
      <c r="L179" s="214"/>
      <c r="M179" s="214">
        <v>75000</v>
      </c>
      <c r="N179" s="214"/>
      <c r="O179" s="214"/>
      <c r="P179" s="214"/>
      <c r="Q179" s="214">
        <v>225000</v>
      </c>
      <c r="R179" s="214"/>
      <c r="S179" s="214"/>
      <c r="T179" s="227"/>
      <c r="U179" s="39">
        <f>I179+J179+K179+L179+M179+N179+O179</f>
        <v>175000</v>
      </c>
      <c r="V179" s="77"/>
      <c r="W179" s="77"/>
      <c r="X179" s="78">
        <f t="shared" ref="X179:X185" si="109">W179-V179</f>
        <v>0</v>
      </c>
      <c r="Y179" s="77"/>
      <c r="Z179" s="78">
        <f t="shared" ref="Z179:Z185" si="110">Y179-V179</f>
        <v>0</v>
      </c>
      <c r="AA179" s="42">
        <f t="shared" ref="AA179:AA185" si="111">Y179-U179</f>
        <v>-175000</v>
      </c>
      <c r="AB179" s="258"/>
      <c r="AC179" s="258"/>
    </row>
    <row r="180" spans="1:29" ht="57" thickBot="1" x14ac:dyDescent="0.3">
      <c r="E180" s="85">
        <f>E179+1</f>
        <v>2</v>
      </c>
      <c r="F180" s="71" t="s">
        <v>298</v>
      </c>
      <c r="G180" s="85">
        <v>3122</v>
      </c>
      <c r="H180" s="136">
        <v>1500000</v>
      </c>
      <c r="I180" s="214"/>
      <c r="J180" s="214">
        <v>50000</v>
      </c>
      <c r="K180" s="214">
        <v>50000</v>
      </c>
      <c r="L180" s="214"/>
      <c r="M180" s="214"/>
      <c r="N180" s="214"/>
      <c r="O180" s="214"/>
      <c r="P180" s="214"/>
      <c r="Q180" s="214"/>
      <c r="R180" s="214"/>
      <c r="S180" s="214"/>
      <c r="T180" s="227"/>
      <c r="U180" s="39">
        <f t="shared" ref="U180:U185" si="112">I180+J180+K180+L180+M180+N180+O180</f>
        <v>100000</v>
      </c>
      <c r="V180" s="77"/>
      <c r="W180" s="77"/>
      <c r="X180" s="78">
        <f t="shared" si="109"/>
        <v>0</v>
      </c>
      <c r="Y180" s="77"/>
      <c r="Z180" s="78">
        <f t="shared" si="110"/>
        <v>0</v>
      </c>
      <c r="AA180" s="42">
        <f t="shared" si="111"/>
        <v>-100000</v>
      </c>
      <c r="AB180" s="258"/>
      <c r="AC180" s="258"/>
    </row>
    <row r="181" spans="1:29" ht="57" thickBot="1" x14ac:dyDescent="0.3">
      <c r="E181" s="85">
        <f t="shared" ref="E181:E185" si="113">E180+1</f>
        <v>3</v>
      </c>
      <c r="F181" s="71" t="s">
        <v>299</v>
      </c>
      <c r="G181" s="85">
        <v>3142</v>
      </c>
      <c r="H181" s="136">
        <v>1498000</v>
      </c>
      <c r="I181" s="214">
        <v>50000</v>
      </c>
      <c r="J181" s="214">
        <v>50000</v>
      </c>
      <c r="K181" s="214"/>
      <c r="L181" s="214"/>
      <c r="M181" s="214">
        <v>200000</v>
      </c>
      <c r="N181" s="214">
        <f>1000000-729500</f>
        <v>270500</v>
      </c>
      <c r="O181" s="214">
        <v>71000</v>
      </c>
      <c r="P181" s="214"/>
      <c r="Q181" s="214"/>
      <c r="R181" s="214">
        <v>127000</v>
      </c>
      <c r="S181" s="214"/>
      <c r="T181" s="227"/>
      <c r="U181" s="39">
        <f t="shared" si="112"/>
        <v>641500</v>
      </c>
      <c r="V181" s="77"/>
      <c r="W181" s="77"/>
      <c r="X181" s="78">
        <f t="shared" si="109"/>
        <v>0</v>
      </c>
      <c r="Y181" s="77"/>
      <c r="Z181" s="78">
        <f t="shared" si="110"/>
        <v>0</v>
      </c>
      <c r="AA181" s="42">
        <f t="shared" si="111"/>
        <v>-641500</v>
      </c>
      <c r="AB181" s="258"/>
      <c r="AC181" s="258"/>
    </row>
    <row r="182" spans="1:29" ht="68.25" thickBot="1" x14ac:dyDescent="0.3">
      <c r="E182" s="85">
        <f t="shared" si="113"/>
        <v>4</v>
      </c>
      <c r="F182" s="71" t="s">
        <v>300</v>
      </c>
      <c r="G182" s="85">
        <v>3142</v>
      </c>
      <c r="H182" s="136">
        <v>500000</v>
      </c>
      <c r="I182" s="214"/>
      <c r="J182" s="214"/>
      <c r="K182" s="214">
        <v>26000</v>
      </c>
      <c r="L182" s="214"/>
      <c r="M182" s="214">
        <v>200000</v>
      </c>
      <c r="N182" s="214"/>
      <c r="O182" s="214">
        <v>74000</v>
      </c>
      <c r="P182" s="214">
        <v>200000</v>
      </c>
      <c r="Q182" s="214"/>
      <c r="R182" s="214"/>
      <c r="S182" s="214"/>
      <c r="T182" s="227"/>
      <c r="U182" s="39">
        <f t="shared" si="112"/>
        <v>300000</v>
      </c>
      <c r="V182" s="77"/>
      <c r="W182" s="77"/>
      <c r="X182" s="78">
        <f t="shared" si="109"/>
        <v>0</v>
      </c>
      <c r="Y182" s="77"/>
      <c r="Z182" s="78">
        <f t="shared" si="110"/>
        <v>0</v>
      </c>
      <c r="AA182" s="42">
        <f t="shared" si="111"/>
        <v>-300000</v>
      </c>
      <c r="AB182" s="258"/>
      <c r="AC182" s="258"/>
    </row>
    <row r="183" spans="1:29" ht="68.25" thickBot="1" x14ac:dyDescent="0.3">
      <c r="E183" s="85">
        <f t="shared" si="113"/>
        <v>5</v>
      </c>
      <c r="F183" s="71" t="s">
        <v>301</v>
      </c>
      <c r="G183" s="85">
        <v>3142</v>
      </c>
      <c r="H183" s="136">
        <v>1498000</v>
      </c>
      <c r="I183" s="214">
        <v>100000</v>
      </c>
      <c r="J183" s="214"/>
      <c r="K183" s="214">
        <v>50000</v>
      </c>
      <c r="L183" s="214">
        <v>175000</v>
      </c>
      <c r="M183" s="214"/>
      <c r="N183" s="214"/>
      <c r="O183" s="214">
        <v>400000</v>
      </c>
      <c r="P183" s="214"/>
      <c r="Q183" s="214"/>
      <c r="R183" s="214">
        <f>323000-279500</f>
        <v>43500</v>
      </c>
      <c r="S183" s="214"/>
      <c r="T183" s="227"/>
      <c r="U183" s="39">
        <f t="shared" si="112"/>
        <v>725000</v>
      </c>
      <c r="V183" s="77"/>
      <c r="W183" s="77"/>
      <c r="X183" s="78">
        <f t="shared" si="109"/>
        <v>0</v>
      </c>
      <c r="Y183" s="77"/>
      <c r="Z183" s="78">
        <f t="shared" si="110"/>
        <v>0</v>
      </c>
      <c r="AA183" s="42">
        <f t="shared" si="111"/>
        <v>-725000</v>
      </c>
      <c r="AB183" s="258"/>
      <c r="AC183" s="258"/>
    </row>
    <row r="184" spans="1:29" ht="45.75" thickBot="1" x14ac:dyDescent="0.3">
      <c r="E184" s="85">
        <f t="shared" si="113"/>
        <v>6</v>
      </c>
      <c r="F184" s="71" t="s">
        <v>302</v>
      </c>
      <c r="G184" s="85">
        <v>3142</v>
      </c>
      <c r="H184" s="136">
        <v>100000</v>
      </c>
      <c r="I184" s="214"/>
      <c r="J184" s="214"/>
      <c r="K184" s="214"/>
      <c r="L184" s="214"/>
      <c r="M184" s="214"/>
      <c r="N184" s="214">
        <v>100000</v>
      </c>
      <c r="O184" s="214"/>
      <c r="P184" s="214"/>
      <c r="Q184" s="214"/>
      <c r="R184" s="214"/>
      <c r="S184" s="214"/>
      <c r="T184" s="227"/>
      <c r="U184" s="39">
        <f t="shared" si="112"/>
        <v>100000</v>
      </c>
      <c r="V184" s="77"/>
      <c r="W184" s="77"/>
      <c r="X184" s="78">
        <f t="shared" si="109"/>
        <v>0</v>
      </c>
      <c r="Y184" s="77"/>
      <c r="Z184" s="78">
        <f t="shared" si="110"/>
        <v>0</v>
      </c>
      <c r="AA184" s="42">
        <f t="shared" si="111"/>
        <v>-100000</v>
      </c>
      <c r="AB184" s="258"/>
      <c r="AC184" s="258"/>
    </row>
    <row r="185" spans="1:29" ht="68.25" thickBot="1" x14ac:dyDescent="0.3">
      <c r="E185" s="85">
        <f t="shared" si="113"/>
        <v>7</v>
      </c>
      <c r="F185" s="71" t="s">
        <v>303</v>
      </c>
      <c r="G185" s="85">
        <v>3142</v>
      </c>
      <c r="H185" s="136">
        <v>100000</v>
      </c>
      <c r="I185" s="215"/>
      <c r="J185" s="215"/>
      <c r="K185" s="215"/>
      <c r="L185" s="215"/>
      <c r="M185" s="216"/>
      <c r="N185" s="216">
        <v>100000</v>
      </c>
      <c r="O185" s="216"/>
      <c r="P185" s="216"/>
      <c r="Q185" s="216"/>
      <c r="R185" s="214"/>
      <c r="S185" s="215"/>
      <c r="T185" s="237"/>
      <c r="U185" s="39">
        <f t="shared" si="112"/>
        <v>100000</v>
      </c>
      <c r="V185" s="77"/>
      <c r="W185" s="77"/>
      <c r="X185" s="78">
        <f t="shared" si="109"/>
        <v>0</v>
      </c>
      <c r="Y185" s="77"/>
      <c r="Z185" s="78">
        <f t="shared" si="110"/>
        <v>0</v>
      </c>
      <c r="AA185" s="42">
        <f t="shared" si="111"/>
        <v>-100000</v>
      </c>
      <c r="AB185" s="258"/>
      <c r="AC185" s="258"/>
    </row>
    <row r="186" spans="1:29" ht="15.75" thickBot="1" x14ac:dyDescent="0.3">
      <c r="E186" s="85"/>
      <c r="F186" s="141" t="s">
        <v>192</v>
      </c>
      <c r="G186" s="137"/>
      <c r="H186" s="136">
        <f>SUM(I186:T186)</f>
        <v>500000</v>
      </c>
      <c r="I186" s="136">
        <f>SUM(I179:I180)</f>
        <v>50000</v>
      </c>
      <c r="J186" s="136">
        <f t="shared" ref="J186:AA186" si="114">SUM(J179:J180)</f>
        <v>100000</v>
      </c>
      <c r="K186" s="136">
        <f t="shared" si="114"/>
        <v>50000</v>
      </c>
      <c r="L186" s="136">
        <f t="shared" si="114"/>
        <v>0</v>
      </c>
      <c r="M186" s="136">
        <f t="shared" si="114"/>
        <v>75000</v>
      </c>
      <c r="N186" s="136">
        <f t="shared" si="114"/>
        <v>0</v>
      </c>
      <c r="O186" s="136">
        <f t="shared" si="114"/>
        <v>0</v>
      </c>
      <c r="P186" s="136">
        <f t="shared" si="114"/>
        <v>0</v>
      </c>
      <c r="Q186" s="136">
        <f t="shared" si="114"/>
        <v>225000</v>
      </c>
      <c r="R186" s="136">
        <f t="shared" si="114"/>
        <v>0</v>
      </c>
      <c r="S186" s="136">
        <f t="shared" si="114"/>
        <v>0</v>
      </c>
      <c r="T186" s="165">
        <f t="shared" si="114"/>
        <v>0</v>
      </c>
      <c r="U186" s="136">
        <f t="shared" si="114"/>
        <v>275000</v>
      </c>
      <c r="V186" s="136">
        <f t="shared" si="114"/>
        <v>0</v>
      </c>
      <c r="W186" s="136">
        <f t="shared" si="114"/>
        <v>0</v>
      </c>
      <c r="X186" s="136">
        <f t="shared" si="114"/>
        <v>0</v>
      </c>
      <c r="Y186" s="136">
        <f t="shared" si="114"/>
        <v>0</v>
      </c>
      <c r="Z186" s="136">
        <f t="shared" si="114"/>
        <v>0</v>
      </c>
      <c r="AA186" s="136">
        <f t="shared" si="114"/>
        <v>-275000</v>
      </c>
      <c r="AB186" s="269"/>
      <c r="AC186" s="269"/>
    </row>
    <row r="187" spans="1:29" ht="15.75" thickBot="1" x14ac:dyDescent="0.3">
      <c r="E187" s="85"/>
      <c r="F187" s="141" t="s">
        <v>291</v>
      </c>
      <c r="G187" s="137"/>
      <c r="H187" s="136">
        <f>SUM(I187:T187)</f>
        <v>2237000</v>
      </c>
      <c r="I187" s="136">
        <f>SUM(I181:I185)</f>
        <v>150000</v>
      </c>
      <c r="J187" s="136">
        <f t="shared" ref="J187:AA187" si="115">SUM(J181:J185)</f>
        <v>50000</v>
      </c>
      <c r="K187" s="136">
        <f t="shared" si="115"/>
        <v>76000</v>
      </c>
      <c r="L187" s="136">
        <f t="shared" si="115"/>
        <v>175000</v>
      </c>
      <c r="M187" s="136">
        <f t="shared" si="115"/>
        <v>400000</v>
      </c>
      <c r="N187" s="136">
        <f t="shared" si="115"/>
        <v>470500</v>
      </c>
      <c r="O187" s="136">
        <f t="shared" si="115"/>
        <v>545000</v>
      </c>
      <c r="P187" s="136">
        <f t="shared" si="115"/>
        <v>200000</v>
      </c>
      <c r="Q187" s="136">
        <f t="shared" si="115"/>
        <v>0</v>
      </c>
      <c r="R187" s="136">
        <f t="shared" si="115"/>
        <v>170500</v>
      </c>
      <c r="S187" s="136">
        <f t="shared" si="115"/>
        <v>0</v>
      </c>
      <c r="T187" s="165">
        <f t="shared" si="115"/>
        <v>0</v>
      </c>
      <c r="U187" s="136">
        <f t="shared" si="115"/>
        <v>1866500</v>
      </c>
      <c r="V187" s="136">
        <f t="shared" si="115"/>
        <v>0</v>
      </c>
      <c r="W187" s="136">
        <f t="shared" si="115"/>
        <v>0</v>
      </c>
      <c r="X187" s="136">
        <f t="shared" si="115"/>
        <v>0</v>
      </c>
      <c r="Y187" s="136">
        <f t="shared" si="115"/>
        <v>0</v>
      </c>
      <c r="Z187" s="136">
        <f t="shared" si="115"/>
        <v>0</v>
      </c>
      <c r="AA187" s="136">
        <f t="shared" si="115"/>
        <v>-1866500</v>
      </c>
      <c r="AB187" s="269"/>
      <c r="AC187" s="269"/>
    </row>
    <row r="188" spans="1:29" ht="15.75" thickBot="1" x14ac:dyDescent="0.3">
      <c r="E188" s="85"/>
      <c r="F188" s="79" t="s">
        <v>316</v>
      </c>
      <c r="G188" s="137"/>
      <c r="H188" s="80">
        <f>SUM(H186:H187)</f>
        <v>2737000</v>
      </c>
      <c r="I188" s="80">
        <f t="shared" ref="I188:AA188" si="116">SUM(I186:I187)</f>
        <v>200000</v>
      </c>
      <c r="J188" s="80">
        <f t="shared" si="116"/>
        <v>150000</v>
      </c>
      <c r="K188" s="80">
        <f t="shared" si="116"/>
        <v>126000</v>
      </c>
      <c r="L188" s="80">
        <f t="shared" si="116"/>
        <v>175000</v>
      </c>
      <c r="M188" s="80">
        <f t="shared" si="116"/>
        <v>475000</v>
      </c>
      <c r="N188" s="80">
        <f t="shared" si="116"/>
        <v>470500</v>
      </c>
      <c r="O188" s="80">
        <f t="shared" si="116"/>
        <v>545000</v>
      </c>
      <c r="P188" s="80">
        <f t="shared" si="116"/>
        <v>200000</v>
      </c>
      <c r="Q188" s="80">
        <f t="shared" si="116"/>
        <v>225000</v>
      </c>
      <c r="R188" s="80">
        <f t="shared" si="116"/>
        <v>170500</v>
      </c>
      <c r="S188" s="80">
        <f t="shared" si="116"/>
        <v>0</v>
      </c>
      <c r="T188" s="236">
        <f t="shared" si="116"/>
        <v>0</v>
      </c>
      <c r="U188" s="80">
        <f t="shared" si="116"/>
        <v>2141500</v>
      </c>
      <c r="V188" s="80">
        <f t="shared" si="116"/>
        <v>0</v>
      </c>
      <c r="W188" s="80">
        <f t="shared" si="116"/>
        <v>0</v>
      </c>
      <c r="X188" s="80">
        <f t="shared" si="116"/>
        <v>0</v>
      </c>
      <c r="Y188" s="80">
        <f t="shared" si="116"/>
        <v>0</v>
      </c>
      <c r="Z188" s="80">
        <f t="shared" si="116"/>
        <v>0</v>
      </c>
      <c r="AA188" s="80">
        <f t="shared" si="116"/>
        <v>-2141500</v>
      </c>
      <c r="AB188" s="268"/>
      <c r="AC188" s="268"/>
    </row>
    <row r="189" spans="1:29" ht="35.25" thickTop="1" thickBot="1" x14ac:dyDescent="0.3">
      <c r="A189" s="3" t="s">
        <v>0</v>
      </c>
      <c r="B189" s="3" t="s">
        <v>1</v>
      </c>
      <c r="C189" s="3"/>
      <c r="D189" s="4" t="s">
        <v>3</v>
      </c>
      <c r="E189" s="83">
        <v>3117322</v>
      </c>
      <c r="F189" s="445" t="s">
        <v>306</v>
      </c>
      <c r="G189" s="446"/>
      <c r="H189" s="7" t="s">
        <v>155</v>
      </c>
      <c r="I189" s="8" t="s">
        <v>7</v>
      </c>
      <c r="J189" s="9" t="s">
        <v>8</v>
      </c>
      <c r="K189" s="9" t="s">
        <v>9</v>
      </c>
      <c r="L189" s="8" t="s">
        <v>10</v>
      </c>
      <c r="M189" s="8" t="s">
        <v>11</v>
      </c>
      <c r="N189" s="10" t="s">
        <v>12</v>
      </c>
      <c r="O189" s="11" t="s">
        <v>13</v>
      </c>
      <c r="P189" s="12" t="s">
        <v>14</v>
      </c>
      <c r="Q189" s="12" t="s">
        <v>15</v>
      </c>
      <c r="R189" s="13" t="s">
        <v>16</v>
      </c>
      <c r="S189" s="8" t="s">
        <v>17</v>
      </c>
      <c r="T189" s="221" t="s">
        <v>18</v>
      </c>
      <c r="U189" s="7" t="s">
        <v>426</v>
      </c>
      <c r="V189" s="7" t="s">
        <v>19</v>
      </c>
      <c r="W189" s="7" t="s">
        <v>20</v>
      </c>
      <c r="X189" s="7" t="s">
        <v>21</v>
      </c>
      <c r="Y189" s="5" t="s">
        <v>22</v>
      </c>
      <c r="Z189" s="14" t="s">
        <v>23</v>
      </c>
      <c r="AA189" s="14" t="s">
        <v>24</v>
      </c>
      <c r="AB189" s="255"/>
      <c r="AC189" s="255"/>
    </row>
    <row r="190" spans="1:29" ht="78" customHeight="1" thickTop="1" thickBot="1" x14ac:dyDescent="0.3">
      <c r="E190" s="85">
        <v>1</v>
      </c>
      <c r="F190" s="302" t="s">
        <v>304</v>
      </c>
      <c r="G190" s="85">
        <v>3122</v>
      </c>
      <c r="H190" s="136">
        <v>500000</v>
      </c>
      <c r="I190" s="137"/>
      <c r="J190" s="138">
        <v>50000</v>
      </c>
      <c r="K190" s="137"/>
      <c r="L190" s="137"/>
      <c r="M190" s="139"/>
      <c r="N190" s="139"/>
      <c r="O190" s="167">
        <v>450000</v>
      </c>
      <c r="P190" s="139"/>
      <c r="Q190" s="139"/>
      <c r="R190" s="87"/>
      <c r="S190" s="137"/>
      <c r="T190" s="238"/>
      <c r="U190" s="39">
        <f>I190+J190+K190+L190+M190+N190+O190</f>
        <v>500000</v>
      </c>
      <c r="V190" s="77"/>
      <c r="W190" s="77"/>
      <c r="X190" s="78">
        <f t="shared" ref="X190" si="117">W190-V190</f>
        <v>0</v>
      </c>
      <c r="Y190" s="77"/>
      <c r="Z190" s="78">
        <f t="shared" ref="Z190" si="118">Y190-V190</f>
        <v>0</v>
      </c>
      <c r="AA190" s="42">
        <f t="shared" ref="AA190" si="119">Y190-U190</f>
        <v>-500000</v>
      </c>
      <c r="AB190" s="258"/>
      <c r="AC190" s="258"/>
    </row>
    <row r="191" spans="1:29" ht="15.75" thickBot="1" x14ac:dyDescent="0.3">
      <c r="E191" s="85"/>
      <c r="F191" s="79" t="s">
        <v>305</v>
      </c>
      <c r="G191" s="137"/>
      <c r="H191" s="80">
        <f>H190</f>
        <v>500000</v>
      </c>
      <c r="I191" s="80">
        <f t="shared" ref="I191:AA191" si="120">I190</f>
        <v>0</v>
      </c>
      <c r="J191" s="80">
        <f t="shared" si="120"/>
        <v>50000</v>
      </c>
      <c r="K191" s="80">
        <f t="shared" si="120"/>
        <v>0</v>
      </c>
      <c r="L191" s="80">
        <f t="shared" si="120"/>
        <v>0</v>
      </c>
      <c r="M191" s="80">
        <f t="shared" si="120"/>
        <v>0</v>
      </c>
      <c r="N191" s="80">
        <f t="shared" si="120"/>
        <v>0</v>
      </c>
      <c r="O191" s="80">
        <f t="shared" si="120"/>
        <v>450000</v>
      </c>
      <c r="P191" s="80">
        <f t="shared" si="120"/>
        <v>0</v>
      </c>
      <c r="Q191" s="80">
        <f t="shared" si="120"/>
        <v>0</v>
      </c>
      <c r="R191" s="80">
        <f t="shared" si="120"/>
        <v>0</v>
      </c>
      <c r="S191" s="80">
        <f t="shared" si="120"/>
        <v>0</v>
      </c>
      <c r="T191" s="236">
        <f t="shared" si="120"/>
        <v>0</v>
      </c>
      <c r="U191" s="80">
        <f t="shared" si="120"/>
        <v>500000</v>
      </c>
      <c r="V191" s="80">
        <f t="shared" si="120"/>
        <v>0</v>
      </c>
      <c r="W191" s="80">
        <f t="shared" si="120"/>
        <v>0</v>
      </c>
      <c r="X191" s="80">
        <f t="shared" si="120"/>
        <v>0</v>
      </c>
      <c r="Y191" s="80">
        <f t="shared" si="120"/>
        <v>0</v>
      </c>
      <c r="Z191" s="80">
        <f t="shared" si="120"/>
        <v>0</v>
      </c>
      <c r="AA191" s="80">
        <f t="shared" si="120"/>
        <v>-500000</v>
      </c>
      <c r="AB191" s="268"/>
      <c r="AC191" s="268"/>
    </row>
    <row r="192" spans="1:29" ht="35.25" thickTop="1" thickBot="1" x14ac:dyDescent="0.3">
      <c r="A192" s="3" t="s">
        <v>0</v>
      </c>
      <c r="B192" s="3" t="s">
        <v>1</v>
      </c>
      <c r="C192" s="3"/>
      <c r="D192" s="4" t="s">
        <v>3</v>
      </c>
      <c r="E192" s="83">
        <v>3117323</v>
      </c>
      <c r="F192" s="445" t="s">
        <v>399</v>
      </c>
      <c r="G192" s="446"/>
      <c r="H192" s="7" t="s">
        <v>155</v>
      </c>
      <c r="I192" s="8" t="s">
        <v>7</v>
      </c>
      <c r="J192" s="9" t="s">
        <v>8</v>
      </c>
      <c r="K192" s="9" t="s">
        <v>9</v>
      </c>
      <c r="L192" s="8" t="s">
        <v>10</v>
      </c>
      <c r="M192" s="8" t="s">
        <v>11</v>
      </c>
      <c r="N192" s="10" t="s">
        <v>12</v>
      </c>
      <c r="O192" s="11" t="s">
        <v>13</v>
      </c>
      <c r="P192" s="12" t="s">
        <v>14</v>
      </c>
      <c r="Q192" s="12" t="s">
        <v>15</v>
      </c>
      <c r="R192" s="13" t="s">
        <v>16</v>
      </c>
      <c r="S192" s="8" t="s">
        <v>17</v>
      </c>
      <c r="T192" s="221" t="s">
        <v>18</v>
      </c>
      <c r="U192" s="7" t="s">
        <v>426</v>
      </c>
      <c r="V192" s="7" t="s">
        <v>19</v>
      </c>
      <c r="W192" s="7" t="s">
        <v>20</v>
      </c>
      <c r="X192" s="7" t="s">
        <v>21</v>
      </c>
      <c r="Y192" s="5" t="s">
        <v>22</v>
      </c>
      <c r="Z192" s="14" t="s">
        <v>23</v>
      </c>
      <c r="AA192" s="14" t="s">
        <v>24</v>
      </c>
      <c r="AB192" s="255"/>
      <c r="AC192" s="255"/>
    </row>
    <row r="193" spans="1:31" ht="61.5" thickTop="1" thickBot="1" x14ac:dyDescent="0.3">
      <c r="E193" s="85">
        <v>1</v>
      </c>
      <c r="F193" s="212" t="s">
        <v>403</v>
      </c>
      <c r="G193" s="85">
        <v>3122</v>
      </c>
      <c r="H193" s="136">
        <f>SUM(I193:T193)</f>
        <v>2200000</v>
      </c>
      <c r="I193" s="88"/>
      <c r="J193" s="88">
        <v>200000</v>
      </c>
      <c r="K193" s="88">
        <v>200000</v>
      </c>
      <c r="L193" s="87"/>
      <c r="M193" s="87">
        <v>1000000</v>
      </c>
      <c r="N193" s="87">
        <v>500000</v>
      </c>
      <c r="O193" s="87"/>
      <c r="P193" s="87">
        <v>300000</v>
      </c>
      <c r="Q193" s="88"/>
      <c r="R193" s="87"/>
      <c r="S193" s="87"/>
      <c r="T193" s="229"/>
      <c r="U193" s="39">
        <f>I193+J193+K193+L193+M193+N193+O193</f>
        <v>1900000</v>
      </c>
      <c r="V193" s="77"/>
      <c r="W193" s="77"/>
      <c r="X193" s="78">
        <f t="shared" ref="X193" si="121">W193-V193</f>
        <v>0</v>
      </c>
      <c r="Y193" s="77"/>
      <c r="Z193" s="78">
        <f t="shared" ref="Z193" si="122">Y193-V193</f>
        <v>0</v>
      </c>
      <c r="AA193" s="42">
        <f t="shared" ref="AA193" si="123">Y193-U193</f>
        <v>-1900000</v>
      </c>
      <c r="AB193" s="258"/>
      <c r="AC193" s="258"/>
    </row>
    <row r="194" spans="1:31" ht="15.75" thickBot="1" x14ac:dyDescent="0.3">
      <c r="A194" s="1"/>
      <c r="B194" s="1"/>
      <c r="C194" s="1"/>
      <c r="D194" s="2"/>
      <c r="E194" s="81"/>
      <c r="F194" s="82" t="s">
        <v>177</v>
      </c>
      <c r="G194" s="75"/>
      <c r="H194" s="68">
        <f>H193</f>
        <v>2200000</v>
      </c>
      <c r="I194" s="68">
        <f t="shared" ref="I194:AA195" si="124">I193</f>
        <v>0</v>
      </c>
      <c r="J194" s="68">
        <f t="shared" si="124"/>
        <v>200000</v>
      </c>
      <c r="K194" s="68">
        <f t="shared" si="124"/>
        <v>200000</v>
      </c>
      <c r="L194" s="68">
        <f t="shared" si="124"/>
        <v>0</v>
      </c>
      <c r="M194" s="68">
        <f t="shared" si="124"/>
        <v>1000000</v>
      </c>
      <c r="N194" s="68">
        <f t="shared" si="124"/>
        <v>500000</v>
      </c>
      <c r="O194" s="68">
        <f t="shared" si="124"/>
        <v>0</v>
      </c>
      <c r="P194" s="68">
        <f t="shared" si="124"/>
        <v>300000</v>
      </c>
      <c r="Q194" s="68">
        <f t="shared" si="124"/>
        <v>0</v>
      </c>
      <c r="R194" s="68">
        <f t="shared" si="124"/>
        <v>0</v>
      </c>
      <c r="S194" s="68">
        <f t="shared" si="124"/>
        <v>0</v>
      </c>
      <c r="T194" s="234">
        <f t="shared" si="124"/>
        <v>0</v>
      </c>
      <c r="U194" s="68">
        <f t="shared" si="124"/>
        <v>1900000</v>
      </c>
      <c r="V194" s="68">
        <f t="shared" si="124"/>
        <v>0</v>
      </c>
      <c r="W194" s="68">
        <f t="shared" si="124"/>
        <v>0</v>
      </c>
      <c r="X194" s="68">
        <f t="shared" si="124"/>
        <v>0</v>
      </c>
      <c r="Y194" s="68">
        <f t="shared" si="124"/>
        <v>0</v>
      </c>
      <c r="Z194" s="68">
        <f t="shared" si="124"/>
        <v>0</v>
      </c>
      <c r="AA194" s="68">
        <f t="shared" si="124"/>
        <v>-1900000</v>
      </c>
      <c r="AB194" s="267"/>
      <c r="AC194" s="267"/>
      <c r="AD194" s="43"/>
      <c r="AE194" s="43"/>
    </row>
    <row r="195" spans="1:31" ht="15.75" thickBot="1" x14ac:dyDescent="0.3">
      <c r="E195" s="73"/>
      <c r="F195" s="79" t="s">
        <v>402</v>
      </c>
      <c r="H195" s="80">
        <f>H194</f>
        <v>2200000</v>
      </c>
      <c r="I195" s="80">
        <f t="shared" si="124"/>
        <v>0</v>
      </c>
      <c r="J195" s="80">
        <f t="shared" si="124"/>
        <v>200000</v>
      </c>
      <c r="K195" s="80">
        <f t="shared" si="124"/>
        <v>200000</v>
      </c>
      <c r="L195" s="80">
        <f t="shared" si="124"/>
        <v>0</v>
      </c>
      <c r="M195" s="80">
        <f t="shared" si="124"/>
        <v>1000000</v>
      </c>
      <c r="N195" s="80">
        <f t="shared" si="124"/>
        <v>500000</v>
      </c>
      <c r="O195" s="80">
        <f t="shared" si="124"/>
        <v>0</v>
      </c>
      <c r="P195" s="80">
        <f t="shared" si="124"/>
        <v>300000</v>
      </c>
      <c r="Q195" s="80">
        <f t="shared" si="124"/>
        <v>0</v>
      </c>
      <c r="R195" s="80">
        <f t="shared" si="124"/>
        <v>0</v>
      </c>
      <c r="S195" s="80">
        <f t="shared" si="124"/>
        <v>0</v>
      </c>
      <c r="T195" s="236">
        <f t="shared" si="124"/>
        <v>0</v>
      </c>
      <c r="U195" s="80">
        <f t="shared" si="124"/>
        <v>1900000</v>
      </c>
      <c r="V195" s="80">
        <f t="shared" si="124"/>
        <v>0</v>
      </c>
      <c r="W195" s="80">
        <f t="shared" si="124"/>
        <v>0</v>
      </c>
      <c r="X195" s="80">
        <f t="shared" si="124"/>
        <v>0</v>
      </c>
      <c r="Y195" s="80">
        <f t="shared" si="124"/>
        <v>0</v>
      </c>
      <c r="Z195" s="80">
        <f t="shared" si="124"/>
        <v>0</v>
      </c>
      <c r="AA195" s="80">
        <f t="shared" si="124"/>
        <v>-1900000</v>
      </c>
      <c r="AB195" s="268"/>
      <c r="AC195" s="268"/>
    </row>
    <row r="196" spans="1:31" ht="35.25" thickTop="1" thickBot="1" x14ac:dyDescent="0.3">
      <c r="A196" s="3" t="s">
        <v>0</v>
      </c>
      <c r="B196" s="3" t="s">
        <v>1</v>
      </c>
      <c r="C196" s="3"/>
      <c r="D196" s="4" t="s">
        <v>3</v>
      </c>
      <c r="E196" s="83">
        <v>3117325</v>
      </c>
      <c r="F196" s="445" t="s">
        <v>307</v>
      </c>
      <c r="G196" s="446"/>
      <c r="H196" s="7" t="s">
        <v>155</v>
      </c>
      <c r="I196" s="8" t="s">
        <v>7</v>
      </c>
      <c r="J196" s="9" t="s">
        <v>8</v>
      </c>
      <c r="K196" s="9" t="s">
        <v>9</v>
      </c>
      <c r="L196" s="8" t="s">
        <v>10</v>
      </c>
      <c r="M196" s="8" t="s">
        <v>11</v>
      </c>
      <c r="N196" s="10" t="s">
        <v>12</v>
      </c>
      <c r="O196" s="11" t="s">
        <v>13</v>
      </c>
      <c r="P196" s="12" t="s">
        <v>14</v>
      </c>
      <c r="Q196" s="12" t="s">
        <v>15</v>
      </c>
      <c r="R196" s="13" t="s">
        <v>16</v>
      </c>
      <c r="S196" s="8" t="s">
        <v>17</v>
      </c>
      <c r="T196" s="221" t="s">
        <v>18</v>
      </c>
      <c r="U196" s="7" t="s">
        <v>426</v>
      </c>
      <c r="V196" s="7" t="s">
        <v>19</v>
      </c>
      <c r="W196" s="7" t="s">
        <v>20</v>
      </c>
      <c r="X196" s="7" t="s">
        <v>21</v>
      </c>
      <c r="Y196" s="5" t="s">
        <v>22</v>
      </c>
      <c r="Z196" s="14" t="s">
        <v>23</v>
      </c>
      <c r="AA196" s="14" t="s">
        <v>24</v>
      </c>
      <c r="AB196" s="255"/>
      <c r="AC196" s="255"/>
    </row>
    <row r="197" spans="1:31" ht="49.5" thickTop="1" thickBot="1" x14ac:dyDescent="0.3">
      <c r="E197" s="85">
        <v>1</v>
      </c>
      <c r="F197" s="168" t="s">
        <v>308</v>
      </c>
      <c r="G197" s="85">
        <v>3122</v>
      </c>
      <c r="H197" s="136">
        <v>50000</v>
      </c>
      <c r="I197" s="87"/>
      <c r="J197" s="88">
        <v>24000</v>
      </c>
      <c r="K197" s="87"/>
      <c r="L197" s="87"/>
      <c r="M197" s="88">
        <v>26000</v>
      </c>
      <c r="N197" s="87"/>
      <c r="O197" s="87"/>
      <c r="P197" s="87"/>
      <c r="Q197" s="87"/>
      <c r="R197" s="87"/>
      <c r="S197" s="87"/>
      <c r="T197" s="229"/>
      <c r="U197" s="39">
        <f>I197+J197+K197+L197+M197+N197+O197</f>
        <v>50000</v>
      </c>
      <c r="V197" s="77"/>
      <c r="W197" s="77"/>
      <c r="X197" s="78">
        <f t="shared" ref="X197:X208" si="125">W197-V197</f>
        <v>0</v>
      </c>
      <c r="Y197" s="77"/>
      <c r="Z197" s="78">
        <f t="shared" ref="Z197:Z208" si="126">Y197-V197</f>
        <v>0</v>
      </c>
      <c r="AA197" s="42">
        <f t="shared" ref="AA197:AA208" si="127">Y197-U197</f>
        <v>-50000</v>
      </c>
      <c r="AB197" s="258"/>
      <c r="AC197" s="258"/>
    </row>
    <row r="198" spans="1:31" ht="60.75" thickBot="1" x14ac:dyDescent="0.3">
      <c r="E198" s="85">
        <v>2</v>
      </c>
      <c r="F198" s="168" t="s">
        <v>309</v>
      </c>
      <c r="G198" s="85">
        <v>3122</v>
      </c>
      <c r="H198" s="136">
        <v>450000</v>
      </c>
      <c r="I198" s="87"/>
      <c r="J198" s="88">
        <v>100000</v>
      </c>
      <c r="K198" s="87"/>
      <c r="L198" s="87"/>
      <c r="M198" s="88">
        <v>324000</v>
      </c>
      <c r="N198" s="87"/>
      <c r="O198" s="87"/>
      <c r="P198" s="88">
        <v>26000</v>
      </c>
      <c r="Q198" s="87"/>
      <c r="R198" s="87"/>
      <c r="S198" s="87"/>
      <c r="T198" s="229"/>
      <c r="U198" s="39">
        <f t="shared" ref="U198:U200" si="128">I198+J198+K198+L198+M198+N198+O198</f>
        <v>424000</v>
      </c>
      <c r="V198" s="77"/>
      <c r="W198" s="77"/>
      <c r="X198" s="78">
        <f t="shared" si="125"/>
        <v>0</v>
      </c>
      <c r="Y198" s="77"/>
      <c r="Z198" s="78">
        <f t="shared" si="126"/>
        <v>0</v>
      </c>
      <c r="AA198" s="42">
        <f t="shared" si="127"/>
        <v>-424000</v>
      </c>
      <c r="AB198" s="258"/>
      <c r="AC198" s="258"/>
    </row>
    <row r="199" spans="1:31" ht="48.75" thickBot="1" x14ac:dyDescent="0.3">
      <c r="E199" s="85">
        <v>3</v>
      </c>
      <c r="F199" s="179" t="s">
        <v>357</v>
      </c>
      <c r="G199" s="85">
        <v>3142</v>
      </c>
      <c r="H199" s="136">
        <v>1000000</v>
      </c>
      <c r="I199" s="87"/>
      <c r="J199" s="87"/>
      <c r="K199" s="87"/>
      <c r="L199" s="87"/>
      <c r="M199" s="87"/>
      <c r="N199" s="87"/>
      <c r="O199" s="87"/>
      <c r="P199" s="88">
        <v>174000</v>
      </c>
      <c r="Q199" s="87"/>
      <c r="R199" s="88">
        <v>826000</v>
      </c>
      <c r="S199" s="87"/>
      <c r="T199" s="229"/>
      <c r="U199" s="39">
        <f t="shared" si="128"/>
        <v>0</v>
      </c>
      <c r="V199" s="77"/>
      <c r="W199" s="77"/>
      <c r="X199" s="78">
        <f t="shared" si="125"/>
        <v>0</v>
      </c>
      <c r="Y199" s="77"/>
      <c r="Z199" s="78">
        <f t="shared" si="126"/>
        <v>0</v>
      </c>
      <c r="AA199" s="42">
        <f t="shared" si="127"/>
        <v>0</v>
      </c>
      <c r="AB199" s="258"/>
      <c r="AC199" s="258"/>
    </row>
    <row r="200" spans="1:31" ht="36.75" thickBot="1" x14ac:dyDescent="0.3">
      <c r="E200" s="85">
        <v>4</v>
      </c>
      <c r="F200" s="168" t="s">
        <v>310</v>
      </c>
      <c r="G200" s="85">
        <v>3142</v>
      </c>
      <c r="H200" s="136">
        <v>1000000</v>
      </c>
      <c r="I200" s="88">
        <v>350000</v>
      </c>
      <c r="J200" s="88">
        <v>50000</v>
      </c>
      <c r="K200" s="87"/>
      <c r="L200" s="87"/>
      <c r="M200" s="88">
        <v>200000</v>
      </c>
      <c r="N200" s="87"/>
      <c r="O200" s="87"/>
      <c r="P200" s="87"/>
      <c r="Q200" s="88">
        <v>400000</v>
      </c>
      <c r="R200" s="87"/>
      <c r="S200" s="87"/>
      <c r="T200" s="229"/>
      <c r="U200" s="39">
        <f t="shared" si="128"/>
        <v>600000</v>
      </c>
      <c r="V200" s="77"/>
      <c r="W200" s="77"/>
      <c r="X200" s="78">
        <f t="shared" si="125"/>
        <v>0</v>
      </c>
      <c r="Y200" s="77"/>
      <c r="Z200" s="78">
        <f t="shared" si="126"/>
        <v>0</v>
      </c>
      <c r="AA200" s="42">
        <f t="shared" si="127"/>
        <v>-600000</v>
      </c>
      <c r="AB200" s="258"/>
      <c r="AC200" s="258"/>
    </row>
    <row r="201" spans="1:31" ht="15.75" thickBot="1" x14ac:dyDescent="0.3">
      <c r="E201" s="141"/>
      <c r="F201" s="141" t="s">
        <v>192</v>
      </c>
      <c r="G201" s="137"/>
      <c r="H201" s="136">
        <f>H197+H198</f>
        <v>500000</v>
      </c>
      <c r="I201" s="136">
        <f t="shared" ref="I201:AA201" si="129">I197+I198</f>
        <v>0</v>
      </c>
      <c r="J201" s="136">
        <f t="shared" si="129"/>
        <v>124000</v>
      </c>
      <c r="K201" s="136">
        <f t="shared" si="129"/>
        <v>0</v>
      </c>
      <c r="L201" s="136">
        <f t="shared" si="129"/>
        <v>0</v>
      </c>
      <c r="M201" s="136">
        <f t="shared" si="129"/>
        <v>350000</v>
      </c>
      <c r="N201" s="136">
        <f t="shared" si="129"/>
        <v>0</v>
      </c>
      <c r="O201" s="136">
        <f t="shared" si="129"/>
        <v>0</v>
      </c>
      <c r="P201" s="136">
        <f t="shared" si="129"/>
        <v>26000</v>
      </c>
      <c r="Q201" s="136">
        <f t="shared" si="129"/>
        <v>0</v>
      </c>
      <c r="R201" s="136">
        <f t="shared" si="129"/>
        <v>0</v>
      </c>
      <c r="S201" s="136">
        <f t="shared" si="129"/>
        <v>0</v>
      </c>
      <c r="T201" s="165">
        <f t="shared" si="129"/>
        <v>0</v>
      </c>
      <c r="U201" s="136">
        <f t="shared" si="129"/>
        <v>474000</v>
      </c>
      <c r="V201" s="136">
        <f t="shared" si="129"/>
        <v>0</v>
      </c>
      <c r="W201" s="136">
        <f t="shared" si="129"/>
        <v>0</v>
      </c>
      <c r="X201" s="136">
        <f t="shared" si="129"/>
        <v>0</v>
      </c>
      <c r="Y201" s="136">
        <f t="shared" si="129"/>
        <v>0</v>
      </c>
      <c r="Z201" s="136">
        <f t="shared" si="129"/>
        <v>0</v>
      </c>
      <c r="AA201" s="136">
        <f t="shared" si="129"/>
        <v>-474000</v>
      </c>
      <c r="AB201" s="269"/>
      <c r="AC201" s="269"/>
    </row>
    <row r="202" spans="1:31" ht="15.75" thickBot="1" x14ac:dyDescent="0.3">
      <c r="E202" s="141"/>
      <c r="F202" s="141" t="s">
        <v>291</v>
      </c>
      <c r="G202" s="137"/>
      <c r="H202" s="136">
        <f>H199+H200</f>
        <v>2000000</v>
      </c>
      <c r="I202" s="136">
        <f t="shared" ref="I202:AA202" si="130">I199+I200</f>
        <v>350000</v>
      </c>
      <c r="J202" s="136">
        <f t="shared" si="130"/>
        <v>50000</v>
      </c>
      <c r="K202" s="136">
        <f t="shared" si="130"/>
        <v>0</v>
      </c>
      <c r="L202" s="136">
        <f t="shared" si="130"/>
        <v>0</v>
      </c>
      <c r="M202" s="136">
        <f t="shared" si="130"/>
        <v>200000</v>
      </c>
      <c r="N202" s="136">
        <f t="shared" si="130"/>
        <v>0</v>
      </c>
      <c r="O202" s="136">
        <f t="shared" si="130"/>
        <v>0</v>
      </c>
      <c r="P202" s="136">
        <f t="shared" si="130"/>
        <v>174000</v>
      </c>
      <c r="Q202" s="136">
        <f t="shared" si="130"/>
        <v>400000</v>
      </c>
      <c r="R202" s="136">
        <f t="shared" si="130"/>
        <v>826000</v>
      </c>
      <c r="S202" s="136">
        <f t="shared" si="130"/>
        <v>0</v>
      </c>
      <c r="T202" s="165">
        <f t="shared" si="130"/>
        <v>0</v>
      </c>
      <c r="U202" s="136">
        <f t="shared" si="130"/>
        <v>600000</v>
      </c>
      <c r="V202" s="136">
        <f t="shared" si="130"/>
        <v>0</v>
      </c>
      <c r="W202" s="136">
        <f t="shared" si="130"/>
        <v>0</v>
      </c>
      <c r="X202" s="136">
        <f t="shared" si="130"/>
        <v>0</v>
      </c>
      <c r="Y202" s="136">
        <f t="shared" si="130"/>
        <v>0</v>
      </c>
      <c r="Z202" s="136">
        <f t="shared" si="130"/>
        <v>0</v>
      </c>
      <c r="AA202" s="136">
        <f t="shared" si="130"/>
        <v>-600000</v>
      </c>
      <c r="AB202" s="269"/>
      <c r="AC202" s="269"/>
    </row>
    <row r="203" spans="1:31" ht="15.75" thickBot="1" x14ac:dyDescent="0.3">
      <c r="E203" s="85"/>
      <c r="F203" s="79" t="s">
        <v>315</v>
      </c>
      <c r="G203" s="137"/>
      <c r="H203" s="80">
        <f>H201+H202</f>
        <v>2500000</v>
      </c>
      <c r="I203" s="80">
        <f t="shared" ref="I203:AA203" si="131">I201+I202</f>
        <v>350000</v>
      </c>
      <c r="J203" s="80">
        <f t="shared" si="131"/>
        <v>174000</v>
      </c>
      <c r="K203" s="80">
        <f t="shared" si="131"/>
        <v>0</v>
      </c>
      <c r="L203" s="80">
        <f t="shared" si="131"/>
        <v>0</v>
      </c>
      <c r="M203" s="80">
        <f t="shared" si="131"/>
        <v>550000</v>
      </c>
      <c r="N203" s="80">
        <f t="shared" si="131"/>
        <v>0</v>
      </c>
      <c r="O203" s="80">
        <f t="shared" si="131"/>
        <v>0</v>
      </c>
      <c r="P203" s="80">
        <f t="shared" si="131"/>
        <v>200000</v>
      </c>
      <c r="Q203" s="80">
        <f t="shared" si="131"/>
        <v>400000</v>
      </c>
      <c r="R203" s="80">
        <f t="shared" si="131"/>
        <v>826000</v>
      </c>
      <c r="S203" s="80">
        <f t="shared" si="131"/>
        <v>0</v>
      </c>
      <c r="T203" s="236">
        <f t="shared" si="131"/>
        <v>0</v>
      </c>
      <c r="U203" s="80">
        <f t="shared" si="131"/>
        <v>1074000</v>
      </c>
      <c r="V203" s="80">
        <f t="shared" si="131"/>
        <v>0</v>
      </c>
      <c r="W203" s="80">
        <f t="shared" si="131"/>
        <v>0</v>
      </c>
      <c r="X203" s="80">
        <f t="shared" si="131"/>
        <v>0</v>
      </c>
      <c r="Y203" s="80">
        <f t="shared" si="131"/>
        <v>0</v>
      </c>
      <c r="Z203" s="80">
        <f t="shared" si="131"/>
        <v>0</v>
      </c>
      <c r="AA203" s="80">
        <f t="shared" si="131"/>
        <v>-1074000</v>
      </c>
      <c r="AB203" s="268"/>
      <c r="AC203" s="268"/>
    </row>
    <row r="204" spans="1:31" ht="26.25" customHeight="1" thickTop="1" thickBot="1" x14ac:dyDescent="0.3">
      <c r="A204" s="3" t="s">
        <v>0</v>
      </c>
      <c r="B204" s="3" t="s">
        <v>1</v>
      </c>
      <c r="C204" s="3"/>
      <c r="D204" s="4" t="s">
        <v>3</v>
      </c>
      <c r="E204" s="83">
        <v>3117330</v>
      </c>
      <c r="F204" s="445" t="s">
        <v>311</v>
      </c>
      <c r="G204" s="446"/>
      <c r="H204" s="7" t="s">
        <v>155</v>
      </c>
      <c r="I204" s="8" t="s">
        <v>7</v>
      </c>
      <c r="J204" s="9" t="s">
        <v>8</v>
      </c>
      <c r="K204" s="9" t="s">
        <v>9</v>
      </c>
      <c r="L204" s="8" t="s">
        <v>10</v>
      </c>
      <c r="M204" s="8" t="s">
        <v>11</v>
      </c>
      <c r="N204" s="10" t="s">
        <v>12</v>
      </c>
      <c r="O204" s="11" t="s">
        <v>13</v>
      </c>
      <c r="P204" s="12" t="s">
        <v>14</v>
      </c>
      <c r="Q204" s="12" t="s">
        <v>15</v>
      </c>
      <c r="R204" s="13" t="s">
        <v>16</v>
      </c>
      <c r="S204" s="8" t="s">
        <v>17</v>
      </c>
      <c r="T204" s="221" t="s">
        <v>18</v>
      </c>
      <c r="U204" s="7" t="s">
        <v>426</v>
      </c>
      <c r="V204" s="7" t="s">
        <v>19</v>
      </c>
      <c r="W204" s="7" t="s">
        <v>20</v>
      </c>
      <c r="X204" s="7" t="s">
        <v>21</v>
      </c>
      <c r="Y204" s="5" t="s">
        <v>22</v>
      </c>
      <c r="Z204" s="14" t="s">
        <v>23</v>
      </c>
      <c r="AA204" s="14" t="s">
        <v>24</v>
      </c>
      <c r="AB204" s="255"/>
      <c r="AC204" s="255"/>
    </row>
    <row r="205" spans="1:31" ht="61.5" thickTop="1" thickBot="1" x14ac:dyDescent="0.3">
      <c r="E205" s="85">
        <v>1</v>
      </c>
      <c r="F205" s="168" t="s">
        <v>312</v>
      </c>
      <c r="G205" s="85">
        <v>3122</v>
      </c>
      <c r="H205" s="136">
        <v>60000</v>
      </c>
      <c r="I205" s="87"/>
      <c r="J205" s="87"/>
      <c r="K205" s="87"/>
      <c r="L205" s="87"/>
      <c r="M205" s="87"/>
      <c r="N205" s="87"/>
      <c r="O205" s="87"/>
      <c r="P205" s="87"/>
      <c r="Q205" s="87"/>
      <c r="R205" s="88">
        <v>60000</v>
      </c>
      <c r="S205" s="87"/>
      <c r="T205" s="229"/>
      <c r="U205" s="39">
        <f>I205+J205+K205+L205+M205+N205+O205</f>
        <v>0</v>
      </c>
      <c r="V205" s="77"/>
      <c r="W205" s="77"/>
      <c r="X205" s="78">
        <f t="shared" si="125"/>
        <v>0</v>
      </c>
      <c r="Y205" s="77"/>
      <c r="Z205" s="78">
        <f t="shared" si="126"/>
        <v>0</v>
      </c>
      <c r="AA205" s="42">
        <f t="shared" si="127"/>
        <v>0</v>
      </c>
      <c r="AB205" s="258"/>
      <c r="AC205" s="258"/>
    </row>
    <row r="206" spans="1:31" ht="60.75" thickBot="1" x14ac:dyDescent="0.3">
      <c r="E206" s="85">
        <v>2</v>
      </c>
      <c r="F206" s="179" t="s">
        <v>358</v>
      </c>
      <c r="G206" s="85">
        <v>3142</v>
      </c>
      <c r="H206" s="136">
        <v>250000</v>
      </c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8">
        <v>250000</v>
      </c>
      <c r="T206" s="229"/>
      <c r="U206" s="39">
        <f t="shared" ref="U206:U208" si="132">I206+J206+K206+L206+M206+N206+O206</f>
        <v>0</v>
      </c>
      <c r="V206" s="77"/>
      <c r="W206" s="77"/>
      <c r="X206" s="78">
        <f t="shared" si="125"/>
        <v>0</v>
      </c>
      <c r="Y206" s="77"/>
      <c r="Z206" s="78">
        <f t="shared" si="126"/>
        <v>0</v>
      </c>
      <c r="AA206" s="42">
        <f t="shared" si="127"/>
        <v>0</v>
      </c>
      <c r="AB206" s="258"/>
      <c r="AC206" s="258"/>
    </row>
    <row r="207" spans="1:31" ht="48.75" thickBot="1" x14ac:dyDescent="0.3">
      <c r="E207" s="85">
        <v>3</v>
      </c>
      <c r="F207" s="168" t="s">
        <v>313</v>
      </c>
      <c r="G207" s="85">
        <v>3142</v>
      </c>
      <c r="H207" s="136">
        <v>1500000</v>
      </c>
      <c r="I207" s="87"/>
      <c r="J207" s="87"/>
      <c r="K207" s="88">
        <v>50000</v>
      </c>
      <c r="L207" s="88">
        <v>225000</v>
      </c>
      <c r="M207" s="88">
        <v>725000</v>
      </c>
      <c r="N207" s="88">
        <v>500000</v>
      </c>
      <c r="O207" s="87"/>
      <c r="P207" s="87"/>
      <c r="Q207" s="87"/>
      <c r="R207" s="87"/>
      <c r="S207" s="87"/>
      <c r="T207" s="229"/>
      <c r="U207" s="39">
        <f t="shared" si="132"/>
        <v>1500000</v>
      </c>
      <c r="V207" s="77"/>
      <c r="W207" s="77"/>
      <c r="X207" s="78">
        <f t="shared" si="125"/>
        <v>0</v>
      </c>
      <c r="Y207" s="77"/>
      <c r="Z207" s="78">
        <f t="shared" si="126"/>
        <v>0</v>
      </c>
      <c r="AA207" s="42">
        <f t="shared" si="127"/>
        <v>-1500000</v>
      </c>
      <c r="AB207" s="258"/>
      <c r="AC207" s="258"/>
    </row>
    <row r="208" spans="1:31" ht="48.75" thickBot="1" x14ac:dyDescent="0.3">
      <c r="E208" s="85">
        <v>4</v>
      </c>
      <c r="F208" s="168" t="s">
        <v>314</v>
      </c>
      <c r="G208" s="85">
        <v>3142</v>
      </c>
      <c r="H208" s="136">
        <v>1000000</v>
      </c>
      <c r="I208" s="140"/>
      <c r="J208" s="140"/>
      <c r="K208" s="138">
        <v>102000</v>
      </c>
      <c r="L208" s="138">
        <v>448000</v>
      </c>
      <c r="M208" s="139"/>
      <c r="N208" s="139"/>
      <c r="O208" s="167">
        <v>225000</v>
      </c>
      <c r="P208" s="167">
        <v>225000</v>
      </c>
      <c r="Q208" s="139"/>
      <c r="R208" s="87"/>
      <c r="S208" s="140"/>
      <c r="T208" s="239"/>
      <c r="U208" s="39">
        <f t="shared" si="132"/>
        <v>775000</v>
      </c>
      <c r="V208" s="77"/>
      <c r="W208" s="77"/>
      <c r="X208" s="78">
        <f t="shared" si="125"/>
        <v>0</v>
      </c>
      <c r="Y208" s="77"/>
      <c r="Z208" s="78">
        <f t="shared" si="126"/>
        <v>0</v>
      </c>
      <c r="AA208" s="42">
        <f t="shared" si="127"/>
        <v>-775000</v>
      </c>
      <c r="AB208" s="258"/>
      <c r="AC208" s="258"/>
    </row>
    <row r="209" spans="1:29" ht="15.75" thickBot="1" x14ac:dyDescent="0.3">
      <c r="E209" s="141"/>
      <c r="F209" s="141" t="s">
        <v>192</v>
      </c>
      <c r="G209" s="137"/>
      <c r="H209" s="136">
        <f>SUM(H205)</f>
        <v>60000</v>
      </c>
      <c r="I209" s="136">
        <f t="shared" ref="I209:AA209" si="133">SUM(I205)</f>
        <v>0</v>
      </c>
      <c r="J209" s="136">
        <f t="shared" si="133"/>
        <v>0</v>
      </c>
      <c r="K209" s="136">
        <f t="shared" si="133"/>
        <v>0</v>
      </c>
      <c r="L209" s="136">
        <f t="shared" si="133"/>
        <v>0</v>
      </c>
      <c r="M209" s="136">
        <f t="shared" si="133"/>
        <v>0</v>
      </c>
      <c r="N209" s="136">
        <f t="shared" si="133"/>
        <v>0</v>
      </c>
      <c r="O209" s="136">
        <f t="shared" si="133"/>
        <v>0</v>
      </c>
      <c r="P209" s="136">
        <f t="shared" si="133"/>
        <v>0</v>
      </c>
      <c r="Q209" s="136">
        <f t="shared" si="133"/>
        <v>0</v>
      </c>
      <c r="R209" s="136">
        <f t="shared" si="133"/>
        <v>60000</v>
      </c>
      <c r="S209" s="136">
        <f t="shared" si="133"/>
        <v>0</v>
      </c>
      <c r="T209" s="165">
        <f t="shared" si="133"/>
        <v>0</v>
      </c>
      <c r="U209" s="136">
        <f t="shared" si="133"/>
        <v>0</v>
      </c>
      <c r="V209" s="136">
        <f t="shared" si="133"/>
        <v>0</v>
      </c>
      <c r="W209" s="136">
        <f t="shared" si="133"/>
        <v>0</v>
      </c>
      <c r="X209" s="136">
        <f t="shared" si="133"/>
        <v>0</v>
      </c>
      <c r="Y209" s="136">
        <f t="shared" si="133"/>
        <v>0</v>
      </c>
      <c r="Z209" s="136">
        <f t="shared" si="133"/>
        <v>0</v>
      </c>
      <c r="AA209" s="136">
        <f t="shared" si="133"/>
        <v>0</v>
      </c>
      <c r="AB209" s="269"/>
      <c r="AC209" s="269"/>
    </row>
    <row r="210" spans="1:29" ht="15.75" thickBot="1" x14ac:dyDescent="0.3">
      <c r="E210" s="141"/>
      <c r="F210" s="141" t="s">
        <v>291</v>
      </c>
      <c r="G210" s="137"/>
      <c r="H210" s="136">
        <f>SUM(H206:H208)</f>
        <v>2750000</v>
      </c>
      <c r="I210" s="136">
        <f t="shared" ref="I210:AA210" si="134">SUM(I206:I208)</f>
        <v>0</v>
      </c>
      <c r="J210" s="136">
        <f t="shared" si="134"/>
        <v>0</v>
      </c>
      <c r="K210" s="136">
        <f t="shared" si="134"/>
        <v>152000</v>
      </c>
      <c r="L210" s="136">
        <f t="shared" si="134"/>
        <v>673000</v>
      </c>
      <c r="M210" s="136">
        <f t="shared" si="134"/>
        <v>725000</v>
      </c>
      <c r="N210" s="136">
        <f t="shared" si="134"/>
        <v>500000</v>
      </c>
      <c r="O210" s="136">
        <f t="shared" si="134"/>
        <v>225000</v>
      </c>
      <c r="P210" s="136">
        <f t="shared" si="134"/>
        <v>225000</v>
      </c>
      <c r="Q210" s="136">
        <f t="shared" si="134"/>
        <v>0</v>
      </c>
      <c r="R210" s="136">
        <f t="shared" si="134"/>
        <v>0</v>
      </c>
      <c r="S210" s="136">
        <f t="shared" si="134"/>
        <v>250000</v>
      </c>
      <c r="T210" s="165">
        <f t="shared" si="134"/>
        <v>0</v>
      </c>
      <c r="U210" s="136">
        <f t="shared" si="134"/>
        <v>2275000</v>
      </c>
      <c r="V210" s="136">
        <f t="shared" si="134"/>
        <v>0</v>
      </c>
      <c r="W210" s="136">
        <f t="shared" si="134"/>
        <v>0</v>
      </c>
      <c r="X210" s="136">
        <f t="shared" si="134"/>
        <v>0</v>
      </c>
      <c r="Y210" s="136">
        <f t="shared" si="134"/>
        <v>0</v>
      </c>
      <c r="Z210" s="136">
        <f t="shared" si="134"/>
        <v>0</v>
      </c>
      <c r="AA210" s="136">
        <f t="shared" si="134"/>
        <v>-2275000</v>
      </c>
      <c r="AB210" s="269"/>
      <c r="AC210" s="269"/>
    </row>
    <row r="211" spans="1:29" ht="15.75" thickBot="1" x14ac:dyDescent="0.3">
      <c r="E211" s="85"/>
      <c r="F211" s="79" t="s">
        <v>405</v>
      </c>
      <c r="G211" s="137"/>
      <c r="H211" s="80">
        <f>SUM(H209:H210)</f>
        <v>2810000</v>
      </c>
      <c r="I211" s="80">
        <f t="shared" ref="I211:AA211" si="135">SUM(I209:I210)</f>
        <v>0</v>
      </c>
      <c r="J211" s="80">
        <f t="shared" si="135"/>
        <v>0</v>
      </c>
      <c r="K211" s="80">
        <f t="shared" si="135"/>
        <v>152000</v>
      </c>
      <c r="L211" s="80">
        <f t="shared" si="135"/>
        <v>673000</v>
      </c>
      <c r="M211" s="80">
        <f t="shared" si="135"/>
        <v>725000</v>
      </c>
      <c r="N211" s="80">
        <f t="shared" si="135"/>
        <v>500000</v>
      </c>
      <c r="O211" s="80">
        <f t="shared" si="135"/>
        <v>225000</v>
      </c>
      <c r="P211" s="80">
        <f t="shared" si="135"/>
        <v>225000</v>
      </c>
      <c r="Q211" s="80">
        <f t="shared" si="135"/>
        <v>0</v>
      </c>
      <c r="R211" s="80">
        <f t="shared" si="135"/>
        <v>60000</v>
      </c>
      <c r="S211" s="80">
        <f t="shared" si="135"/>
        <v>250000</v>
      </c>
      <c r="T211" s="236">
        <f t="shared" si="135"/>
        <v>0</v>
      </c>
      <c r="U211" s="80">
        <f t="shared" si="135"/>
        <v>2275000</v>
      </c>
      <c r="V211" s="80">
        <f t="shared" si="135"/>
        <v>0</v>
      </c>
      <c r="W211" s="80">
        <f t="shared" si="135"/>
        <v>0</v>
      </c>
      <c r="X211" s="80">
        <f t="shared" si="135"/>
        <v>0</v>
      </c>
      <c r="Y211" s="80">
        <f t="shared" si="135"/>
        <v>0</v>
      </c>
      <c r="Z211" s="80">
        <f t="shared" si="135"/>
        <v>0</v>
      </c>
      <c r="AA211" s="80">
        <f t="shared" si="135"/>
        <v>-2275000</v>
      </c>
      <c r="AB211" s="268"/>
      <c r="AC211" s="268"/>
    </row>
    <row r="212" spans="1:29" ht="26.25" customHeight="1" thickTop="1" thickBot="1" x14ac:dyDescent="0.3">
      <c r="A212" s="3" t="s">
        <v>0</v>
      </c>
      <c r="B212" s="3" t="s">
        <v>1</v>
      </c>
      <c r="C212" s="3"/>
      <c r="D212" s="4" t="s">
        <v>3</v>
      </c>
      <c r="E212" s="83">
        <v>3117340</v>
      </c>
      <c r="F212" s="445" t="s">
        <v>378</v>
      </c>
      <c r="G212" s="446"/>
      <c r="H212" s="7" t="s">
        <v>155</v>
      </c>
      <c r="I212" s="8" t="s">
        <v>7</v>
      </c>
      <c r="J212" s="9" t="s">
        <v>8</v>
      </c>
      <c r="K212" s="9" t="s">
        <v>9</v>
      </c>
      <c r="L212" s="8" t="s">
        <v>10</v>
      </c>
      <c r="M212" s="8" t="s">
        <v>11</v>
      </c>
      <c r="N212" s="10" t="s">
        <v>12</v>
      </c>
      <c r="O212" s="11" t="s">
        <v>13</v>
      </c>
      <c r="P212" s="12" t="s">
        <v>14</v>
      </c>
      <c r="Q212" s="12" t="s">
        <v>15</v>
      </c>
      <c r="R212" s="13" t="s">
        <v>16</v>
      </c>
      <c r="S212" s="8" t="s">
        <v>17</v>
      </c>
      <c r="T212" s="221" t="s">
        <v>18</v>
      </c>
      <c r="U212" s="7" t="s">
        <v>426</v>
      </c>
      <c r="V212" s="7" t="s">
        <v>19</v>
      </c>
      <c r="W212" s="7" t="s">
        <v>425</v>
      </c>
      <c r="X212" s="7" t="s">
        <v>21</v>
      </c>
      <c r="Y212" s="5" t="s">
        <v>22</v>
      </c>
      <c r="Z212" s="14" t="s">
        <v>23</v>
      </c>
      <c r="AA212" s="14" t="s">
        <v>24</v>
      </c>
      <c r="AB212" s="255"/>
      <c r="AC212" s="255"/>
    </row>
    <row r="213" spans="1:29" ht="91.5" thickTop="1" thickBot="1" x14ac:dyDescent="0.3">
      <c r="E213" s="85">
        <v>1</v>
      </c>
      <c r="F213" s="86" t="s">
        <v>379</v>
      </c>
      <c r="G213" s="85">
        <v>3143</v>
      </c>
      <c r="H213" s="136">
        <f>SUM(I213:T213)</f>
        <v>300000</v>
      </c>
      <c r="I213" s="200"/>
      <c r="J213" s="200"/>
      <c r="K213" s="200"/>
      <c r="L213" s="200"/>
      <c r="M213" s="200">
        <v>100000</v>
      </c>
      <c r="N213" s="200">
        <v>100000</v>
      </c>
      <c r="O213" s="200">
        <v>100000</v>
      </c>
      <c r="P213" s="200"/>
      <c r="Q213" s="200"/>
      <c r="R213" s="200"/>
      <c r="S213" s="200"/>
      <c r="T213" s="240"/>
      <c r="U213" s="39">
        <f>I213+J213+K213+L213+M213+N213+O213</f>
        <v>300000</v>
      </c>
      <c r="V213" s="77"/>
      <c r="W213" s="77"/>
      <c r="X213" s="78">
        <f t="shared" ref="X213:X215" si="136">W213-V213</f>
        <v>0</v>
      </c>
      <c r="Y213" s="77"/>
      <c r="Z213" s="78">
        <f t="shared" ref="Z213:Z215" si="137">Y213-V213</f>
        <v>0</v>
      </c>
      <c r="AA213" s="42">
        <f t="shared" ref="AA213:AA215" si="138">Y213-U213</f>
        <v>-300000</v>
      </c>
      <c r="AB213" s="258"/>
      <c r="AC213" s="258"/>
    </row>
    <row r="214" spans="1:29" ht="77.25" thickBot="1" x14ac:dyDescent="0.3">
      <c r="E214" s="85">
        <v>2</v>
      </c>
      <c r="F214" s="213" t="s">
        <v>410</v>
      </c>
      <c r="G214" s="85">
        <v>3143</v>
      </c>
      <c r="H214" s="136">
        <f t="shared" ref="H214:H215" si="139">SUM(I214:T214)</f>
        <v>315000</v>
      </c>
      <c r="I214" s="200"/>
      <c r="J214" s="200"/>
      <c r="K214" s="200"/>
      <c r="L214" s="200"/>
      <c r="M214" s="200">
        <v>315000</v>
      </c>
      <c r="N214" s="200"/>
      <c r="O214" s="200"/>
      <c r="P214" s="200"/>
      <c r="Q214" s="200"/>
      <c r="R214" s="200"/>
      <c r="S214" s="200"/>
      <c r="T214" s="240"/>
      <c r="U214" s="39">
        <f t="shared" ref="U214:U215" si="140">I214+J214+K214+L214+M214+N214+O214</f>
        <v>315000</v>
      </c>
      <c r="V214" s="77"/>
      <c r="W214" s="77"/>
      <c r="X214" s="78">
        <f t="shared" si="136"/>
        <v>0</v>
      </c>
      <c r="Y214" s="77"/>
      <c r="Z214" s="78">
        <f t="shared" si="137"/>
        <v>0</v>
      </c>
      <c r="AA214" s="42">
        <f t="shared" si="138"/>
        <v>-315000</v>
      </c>
      <c r="AB214" s="258"/>
      <c r="AC214" s="258"/>
    </row>
    <row r="215" spans="1:29" ht="90" thickBot="1" x14ac:dyDescent="0.3">
      <c r="E215" s="85">
        <v>3</v>
      </c>
      <c r="F215" s="213" t="s">
        <v>411</v>
      </c>
      <c r="G215" s="85">
        <v>3143</v>
      </c>
      <c r="H215" s="136">
        <f t="shared" si="139"/>
        <v>500000</v>
      </c>
      <c r="I215" s="200"/>
      <c r="J215" s="200"/>
      <c r="K215" s="200"/>
      <c r="L215" s="200"/>
      <c r="M215" s="200">
        <v>200000</v>
      </c>
      <c r="N215" s="200"/>
      <c r="O215" s="200"/>
      <c r="P215" s="200"/>
      <c r="Q215" s="200">
        <v>300000</v>
      </c>
      <c r="R215" s="200"/>
      <c r="S215" s="200"/>
      <c r="T215" s="240"/>
      <c r="U215" s="39">
        <f t="shared" si="140"/>
        <v>200000</v>
      </c>
      <c r="V215" s="77"/>
      <c r="W215" s="77"/>
      <c r="X215" s="78">
        <f t="shared" si="136"/>
        <v>0</v>
      </c>
      <c r="Y215" s="77"/>
      <c r="Z215" s="78">
        <f t="shared" si="137"/>
        <v>0</v>
      </c>
      <c r="AA215" s="42">
        <f t="shared" si="138"/>
        <v>-200000</v>
      </c>
      <c r="AB215" s="258"/>
      <c r="AC215" s="258"/>
    </row>
    <row r="216" spans="1:29" ht="15.75" thickBot="1" x14ac:dyDescent="0.3">
      <c r="E216" s="141"/>
      <c r="F216" s="79" t="s">
        <v>377</v>
      </c>
      <c r="G216" s="137"/>
      <c r="H216" s="80">
        <f>SUM(H213:H215)</f>
        <v>1115000</v>
      </c>
      <c r="I216" s="80">
        <f t="shared" ref="I216:AA216" si="141">SUM(I213:I215)</f>
        <v>0</v>
      </c>
      <c r="J216" s="80">
        <f t="shared" si="141"/>
        <v>0</v>
      </c>
      <c r="K216" s="80">
        <f t="shared" si="141"/>
        <v>0</v>
      </c>
      <c r="L216" s="80">
        <f t="shared" si="141"/>
        <v>0</v>
      </c>
      <c r="M216" s="80">
        <f t="shared" si="141"/>
        <v>615000</v>
      </c>
      <c r="N216" s="80">
        <f t="shared" si="141"/>
        <v>100000</v>
      </c>
      <c r="O216" s="80">
        <f t="shared" si="141"/>
        <v>100000</v>
      </c>
      <c r="P216" s="80">
        <f t="shared" si="141"/>
        <v>0</v>
      </c>
      <c r="Q216" s="80">
        <f t="shared" si="141"/>
        <v>300000</v>
      </c>
      <c r="R216" s="80">
        <f t="shared" si="141"/>
        <v>0</v>
      </c>
      <c r="S216" s="80">
        <f t="shared" si="141"/>
        <v>0</v>
      </c>
      <c r="T216" s="236">
        <f t="shared" si="141"/>
        <v>0</v>
      </c>
      <c r="U216" s="80">
        <f t="shared" si="141"/>
        <v>815000</v>
      </c>
      <c r="V216" s="80">
        <f t="shared" si="141"/>
        <v>0</v>
      </c>
      <c r="W216" s="80">
        <f t="shared" si="141"/>
        <v>0</v>
      </c>
      <c r="X216" s="80">
        <f t="shared" si="141"/>
        <v>0</v>
      </c>
      <c r="Y216" s="80">
        <f t="shared" si="141"/>
        <v>0</v>
      </c>
      <c r="Z216" s="80">
        <f t="shared" si="141"/>
        <v>0</v>
      </c>
      <c r="AA216" s="80">
        <f t="shared" si="141"/>
        <v>-815000</v>
      </c>
      <c r="AB216" s="268"/>
      <c r="AC216" s="268"/>
    </row>
    <row r="217" spans="1:29" ht="26.25" customHeight="1" thickTop="1" thickBot="1" x14ac:dyDescent="0.3">
      <c r="A217" s="3" t="s">
        <v>0</v>
      </c>
      <c r="B217" s="3" t="s">
        <v>1</v>
      </c>
      <c r="C217" s="3"/>
      <c r="D217" s="4" t="s">
        <v>3</v>
      </c>
      <c r="E217" s="83">
        <v>3117370</v>
      </c>
      <c r="F217" s="445" t="s">
        <v>168</v>
      </c>
      <c r="G217" s="446"/>
      <c r="H217" s="7" t="s">
        <v>155</v>
      </c>
      <c r="I217" s="8" t="s">
        <v>7</v>
      </c>
      <c r="J217" s="9" t="s">
        <v>8</v>
      </c>
      <c r="K217" s="9" t="s">
        <v>9</v>
      </c>
      <c r="L217" s="8" t="s">
        <v>10</v>
      </c>
      <c r="M217" s="8" t="s">
        <v>11</v>
      </c>
      <c r="N217" s="10" t="s">
        <v>12</v>
      </c>
      <c r="O217" s="11" t="s">
        <v>13</v>
      </c>
      <c r="P217" s="12" t="s">
        <v>14</v>
      </c>
      <c r="Q217" s="12" t="s">
        <v>15</v>
      </c>
      <c r="R217" s="13" t="s">
        <v>16</v>
      </c>
      <c r="S217" s="8" t="s">
        <v>17</v>
      </c>
      <c r="T217" s="221" t="s">
        <v>18</v>
      </c>
      <c r="U217" s="7" t="s">
        <v>426</v>
      </c>
      <c r="V217" s="7" t="s">
        <v>19</v>
      </c>
      <c r="W217" s="7" t="s">
        <v>425</v>
      </c>
      <c r="X217" s="7" t="s">
        <v>21</v>
      </c>
      <c r="Y217" s="5" t="s">
        <v>22</v>
      </c>
      <c r="Z217" s="14" t="s">
        <v>23</v>
      </c>
      <c r="AA217" s="14" t="s">
        <v>24</v>
      </c>
      <c r="AB217" s="255"/>
      <c r="AC217" s="255"/>
    </row>
    <row r="218" spans="1:29" ht="17.25" thickTop="1" thickBot="1" x14ac:dyDescent="0.3">
      <c r="E218" s="73"/>
      <c r="F218" s="84" t="s">
        <v>169</v>
      </c>
      <c r="G218" s="85"/>
    </row>
    <row r="219" spans="1:29" ht="34.5" thickBot="1" x14ac:dyDescent="0.3">
      <c r="A219" s="43" t="s">
        <v>241</v>
      </c>
      <c r="B219" s="124">
        <v>44911</v>
      </c>
      <c r="C219" s="43"/>
      <c r="D219" s="43" t="s">
        <v>240</v>
      </c>
      <c r="E219" s="85">
        <v>1</v>
      </c>
      <c r="F219" s="86" t="s">
        <v>170</v>
      </c>
      <c r="G219" s="85">
        <v>3122</v>
      </c>
      <c r="H219" s="68">
        <f>SUM(I219:T219)</f>
        <v>860000</v>
      </c>
      <c r="I219" s="59"/>
      <c r="J219" s="59"/>
      <c r="K219" s="58">
        <v>860000</v>
      </c>
      <c r="L219" s="59"/>
      <c r="M219" s="59"/>
      <c r="N219" s="59"/>
      <c r="O219" s="59"/>
      <c r="P219" s="59"/>
      <c r="Q219" s="59"/>
      <c r="R219" s="59"/>
      <c r="S219" s="59"/>
      <c r="T219" s="229"/>
      <c r="U219" s="39">
        <f>I219+J219+K219+L219+M219+N219+O219</f>
        <v>860000</v>
      </c>
      <c r="V219" s="64"/>
      <c r="W219" s="64"/>
      <c r="X219" s="41">
        <f t="shared" ref="X219:X246" si="142">W219-V219</f>
        <v>0</v>
      </c>
      <c r="Y219" s="64"/>
      <c r="Z219" s="41">
        <f t="shared" ref="Z219:Z246" si="143">Y219-V219</f>
        <v>0</v>
      </c>
      <c r="AA219" s="42">
        <f t="shared" ref="AA219:AA246" si="144">Y219-U219</f>
        <v>-860000</v>
      </c>
      <c r="AB219" s="258"/>
      <c r="AC219" s="258"/>
    </row>
    <row r="220" spans="1:29" ht="79.5" thickBot="1" x14ac:dyDescent="0.3">
      <c r="E220" s="85">
        <f>E219+1</f>
        <v>2</v>
      </c>
      <c r="F220" s="184" t="s">
        <v>171</v>
      </c>
      <c r="G220" s="85">
        <v>3122</v>
      </c>
      <c r="H220" s="68">
        <f t="shared" ref="H220:H226" si="145">SUM(I220:T220)</f>
        <v>100000</v>
      </c>
      <c r="I220" s="217">
        <v>50000</v>
      </c>
      <c r="J220" s="217"/>
      <c r="K220" s="217">
        <v>50000</v>
      </c>
      <c r="L220" s="217"/>
      <c r="M220" s="217"/>
      <c r="N220" s="217"/>
      <c r="O220" s="217"/>
      <c r="P220" s="217"/>
      <c r="Q220" s="217"/>
      <c r="R220" s="217"/>
      <c r="S220" s="217"/>
      <c r="T220" s="241"/>
      <c r="U220" s="39">
        <f t="shared" ref="U220:U246" si="146">I220+J220+K220+L220+M220+N220+O220</f>
        <v>100000</v>
      </c>
      <c r="V220" s="64"/>
      <c r="W220" s="64"/>
      <c r="X220" s="41">
        <f t="shared" si="142"/>
        <v>0</v>
      </c>
      <c r="Y220" s="64"/>
      <c r="Z220" s="41">
        <f t="shared" si="143"/>
        <v>0</v>
      </c>
      <c r="AA220" s="42">
        <f t="shared" si="144"/>
        <v>-100000</v>
      </c>
      <c r="AB220" s="258"/>
      <c r="AC220" s="258"/>
    </row>
    <row r="221" spans="1:29" ht="34.5" thickBot="1" x14ac:dyDescent="0.3">
      <c r="A221" t="s">
        <v>244</v>
      </c>
      <c r="D221" t="s">
        <v>253</v>
      </c>
      <c r="E221" s="85">
        <f t="shared" ref="E221:E225" si="147">E220+1</f>
        <v>3</v>
      </c>
      <c r="F221" s="86" t="s">
        <v>172</v>
      </c>
      <c r="G221" s="85">
        <v>3122</v>
      </c>
      <c r="H221" s="68">
        <f t="shared" si="145"/>
        <v>1150000</v>
      </c>
      <c r="I221" s="59"/>
      <c r="J221" s="59"/>
      <c r="K221" s="58">
        <v>50000</v>
      </c>
      <c r="L221" s="59"/>
      <c r="M221" s="58">
        <v>1100000</v>
      </c>
      <c r="N221" s="193"/>
      <c r="O221" s="59"/>
      <c r="P221" s="59"/>
      <c r="Q221" s="59"/>
      <c r="R221" s="59"/>
      <c r="S221" s="59"/>
      <c r="T221" s="229"/>
      <c r="U221" s="39">
        <f t="shared" si="146"/>
        <v>1150000</v>
      </c>
      <c r="V221" s="64"/>
      <c r="W221" s="64"/>
      <c r="X221" s="41">
        <f t="shared" si="142"/>
        <v>0</v>
      </c>
      <c r="Y221" s="64">
        <f>8590</f>
        <v>8590</v>
      </c>
      <c r="Z221" s="41">
        <f t="shared" si="143"/>
        <v>8590</v>
      </c>
      <c r="AA221" s="42">
        <f t="shared" si="144"/>
        <v>-1141410</v>
      </c>
      <c r="AB221" s="258"/>
      <c r="AC221" s="258"/>
    </row>
    <row r="222" spans="1:29" ht="23.25" thickBot="1" x14ac:dyDescent="0.3">
      <c r="E222" s="85">
        <f t="shared" si="147"/>
        <v>4</v>
      </c>
      <c r="F222" s="194" t="s">
        <v>173</v>
      </c>
      <c r="G222" s="85">
        <v>3122</v>
      </c>
      <c r="H222" s="68">
        <f t="shared" si="145"/>
        <v>470000</v>
      </c>
      <c r="I222" s="59"/>
      <c r="J222" s="59"/>
      <c r="K222" s="58">
        <v>50000</v>
      </c>
      <c r="L222" s="59"/>
      <c r="M222" s="59"/>
      <c r="N222" s="59"/>
      <c r="O222" s="59"/>
      <c r="P222" s="58">
        <v>420000</v>
      </c>
      <c r="Q222" s="59"/>
      <c r="R222" s="59"/>
      <c r="S222" s="59"/>
      <c r="T222" s="229"/>
      <c r="U222" s="39">
        <f t="shared" si="146"/>
        <v>50000</v>
      </c>
      <c r="V222" s="64"/>
      <c r="W222" s="64"/>
      <c r="X222" s="41">
        <f t="shared" si="142"/>
        <v>0</v>
      </c>
      <c r="Y222" s="64"/>
      <c r="Z222" s="41">
        <f t="shared" si="143"/>
        <v>0</v>
      </c>
      <c r="AA222" s="42">
        <f t="shared" si="144"/>
        <v>-50000</v>
      </c>
      <c r="AB222" s="258"/>
      <c r="AC222" s="258"/>
    </row>
    <row r="223" spans="1:29" ht="45.75" thickBot="1" x14ac:dyDescent="0.3">
      <c r="E223" s="85">
        <f t="shared" si="147"/>
        <v>5</v>
      </c>
      <c r="F223" s="194" t="s">
        <v>174</v>
      </c>
      <c r="G223" s="85">
        <v>3122</v>
      </c>
      <c r="H223" s="68">
        <f t="shared" si="145"/>
        <v>1200000</v>
      </c>
      <c r="I223" s="59"/>
      <c r="J223" s="59"/>
      <c r="K223" s="58">
        <v>80000</v>
      </c>
      <c r="L223" s="59"/>
      <c r="M223" s="59"/>
      <c r="N223" s="59"/>
      <c r="O223" s="59"/>
      <c r="P223" s="59"/>
      <c r="Q223" s="58">
        <v>1120000</v>
      </c>
      <c r="R223" s="59"/>
      <c r="S223" s="59"/>
      <c r="T223" s="229"/>
      <c r="U223" s="39">
        <f t="shared" si="146"/>
        <v>80000</v>
      </c>
      <c r="V223" s="64"/>
      <c r="W223" s="64"/>
      <c r="X223" s="41">
        <f t="shared" si="142"/>
        <v>0</v>
      </c>
      <c r="Y223" s="64"/>
      <c r="Z223" s="41">
        <f t="shared" si="143"/>
        <v>0</v>
      </c>
      <c r="AA223" s="42">
        <f t="shared" si="144"/>
        <v>-80000</v>
      </c>
      <c r="AB223" s="258"/>
      <c r="AC223" s="258"/>
    </row>
    <row r="224" spans="1:29" ht="45.75" thickBot="1" x14ac:dyDescent="0.3">
      <c r="E224" s="85">
        <f t="shared" si="147"/>
        <v>6</v>
      </c>
      <c r="F224" s="194" t="s">
        <v>175</v>
      </c>
      <c r="G224" s="85">
        <v>3122</v>
      </c>
      <c r="H224" s="68">
        <f t="shared" si="145"/>
        <v>464000</v>
      </c>
      <c r="I224" s="58">
        <v>64000</v>
      </c>
      <c r="J224" s="59"/>
      <c r="K224" s="59"/>
      <c r="L224" s="59"/>
      <c r="M224" s="59"/>
      <c r="N224" s="59"/>
      <c r="O224" s="59"/>
      <c r="P224" s="58">
        <v>400000</v>
      </c>
      <c r="Q224" s="59"/>
      <c r="R224" s="59"/>
      <c r="S224" s="59"/>
      <c r="T224" s="229"/>
      <c r="U224" s="39">
        <f t="shared" si="146"/>
        <v>64000</v>
      </c>
      <c r="V224" s="64"/>
      <c r="W224" s="64"/>
      <c r="X224" s="41">
        <f t="shared" si="142"/>
        <v>0</v>
      </c>
      <c r="Y224" s="126"/>
      <c r="Z224" s="41">
        <f t="shared" si="143"/>
        <v>0</v>
      </c>
      <c r="AA224" s="42">
        <f t="shared" si="144"/>
        <v>-64000</v>
      </c>
      <c r="AB224" s="258"/>
      <c r="AC224" s="258"/>
    </row>
    <row r="225" spans="1:29" ht="45.75" thickBot="1" x14ac:dyDescent="0.3">
      <c r="D225" t="s">
        <v>355</v>
      </c>
      <c r="E225" s="85">
        <f t="shared" si="147"/>
        <v>7</v>
      </c>
      <c r="F225" s="192" t="s">
        <v>176</v>
      </c>
      <c r="G225" s="85">
        <v>3122</v>
      </c>
      <c r="H225" s="68">
        <f t="shared" si="145"/>
        <v>100000</v>
      </c>
      <c r="I225" s="217"/>
      <c r="J225" s="217"/>
      <c r="K225" s="217">
        <v>50000</v>
      </c>
      <c r="L225" s="217"/>
      <c r="M225" s="217"/>
      <c r="N225" s="217"/>
      <c r="O225" s="217"/>
      <c r="P225" s="217">
        <v>50000</v>
      </c>
      <c r="Q225" s="217"/>
      <c r="R225" s="217"/>
      <c r="S225" s="217"/>
      <c r="T225" s="241"/>
      <c r="U225" s="39">
        <f t="shared" si="146"/>
        <v>50000</v>
      </c>
      <c r="V225" s="64"/>
      <c r="W225" s="64"/>
      <c r="X225" s="41">
        <f t="shared" si="142"/>
        <v>0</v>
      </c>
      <c r="Y225" s="126">
        <f>7613.18</f>
        <v>7613.18</v>
      </c>
      <c r="Z225" s="41">
        <f t="shared" si="143"/>
        <v>7613.18</v>
      </c>
      <c r="AA225" s="42">
        <f t="shared" si="144"/>
        <v>-42386.82</v>
      </c>
      <c r="AB225" s="258"/>
      <c r="AC225" s="258"/>
    </row>
    <row r="226" spans="1:29" ht="45.75" thickBot="1" x14ac:dyDescent="0.3">
      <c r="E226" s="85">
        <v>8</v>
      </c>
      <c r="F226" s="192" t="s">
        <v>359</v>
      </c>
      <c r="G226" s="85">
        <v>3122</v>
      </c>
      <c r="H226" s="68">
        <f t="shared" si="145"/>
        <v>100000</v>
      </c>
      <c r="I226" s="59"/>
      <c r="J226" s="59"/>
      <c r="K226" s="59"/>
      <c r="L226" s="59"/>
      <c r="M226" s="59"/>
      <c r="N226" s="58">
        <v>100000</v>
      </c>
      <c r="O226" s="59"/>
      <c r="P226" s="59"/>
      <c r="Q226" s="59"/>
      <c r="R226" s="59"/>
      <c r="S226" s="59"/>
      <c r="T226" s="229"/>
      <c r="U226" s="39">
        <f t="shared" si="146"/>
        <v>100000</v>
      </c>
      <c r="V226" s="64"/>
      <c r="W226" s="64"/>
      <c r="X226" s="41">
        <f t="shared" si="142"/>
        <v>0</v>
      </c>
      <c r="Y226" s="126"/>
      <c r="Z226" s="41">
        <f t="shared" si="143"/>
        <v>0</v>
      </c>
      <c r="AA226" s="42">
        <f t="shared" si="144"/>
        <v>-100000</v>
      </c>
      <c r="AB226" s="258"/>
      <c r="AC226" s="258"/>
    </row>
    <row r="227" spans="1:29" ht="34.5" thickBot="1" x14ac:dyDescent="0.3">
      <c r="E227" s="85">
        <v>9</v>
      </c>
      <c r="F227" s="194" t="s">
        <v>317</v>
      </c>
      <c r="G227" s="85">
        <v>3122</v>
      </c>
      <c r="H227" s="169">
        <v>6047</v>
      </c>
      <c r="I227" s="59"/>
      <c r="J227" s="59"/>
      <c r="K227" s="59"/>
      <c r="L227" s="59"/>
      <c r="M227" s="59"/>
      <c r="N227" s="58">
        <v>2047</v>
      </c>
      <c r="O227" s="59"/>
      <c r="P227" s="59"/>
      <c r="Q227" s="59"/>
      <c r="R227" s="59"/>
      <c r="S227" s="58">
        <v>4000</v>
      </c>
      <c r="T227" s="229"/>
      <c r="U227" s="39">
        <f t="shared" si="146"/>
        <v>2047</v>
      </c>
      <c r="V227" s="64"/>
      <c r="W227" s="64"/>
      <c r="X227" s="41">
        <f t="shared" si="142"/>
        <v>0</v>
      </c>
      <c r="Y227" s="126"/>
      <c r="Z227" s="41">
        <f t="shared" si="143"/>
        <v>0</v>
      </c>
      <c r="AA227" s="42">
        <f t="shared" si="144"/>
        <v>-2047</v>
      </c>
      <c r="AB227" s="258"/>
      <c r="AC227" s="258"/>
    </row>
    <row r="228" spans="1:29" ht="23.25" thickBot="1" x14ac:dyDescent="0.3">
      <c r="E228" s="85">
        <v>10</v>
      </c>
      <c r="F228" s="194" t="s">
        <v>318</v>
      </c>
      <c r="G228" s="85">
        <v>3122</v>
      </c>
      <c r="H228" s="169">
        <v>6503</v>
      </c>
      <c r="I228" s="59"/>
      <c r="J228" s="59"/>
      <c r="K228" s="59"/>
      <c r="L228" s="59"/>
      <c r="M228" s="59"/>
      <c r="N228" s="58">
        <v>6503</v>
      </c>
      <c r="O228" s="59"/>
      <c r="P228" s="59"/>
      <c r="Q228" s="59"/>
      <c r="R228" s="59"/>
      <c r="S228" s="59"/>
      <c r="T228" s="229"/>
      <c r="U228" s="39">
        <f t="shared" si="146"/>
        <v>6503</v>
      </c>
      <c r="V228" s="64"/>
      <c r="W228" s="64"/>
      <c r="X228" s="41">
        <f t="shared" si="142"/>
        <v>0</v>
      </c>
      <c r="Y228" s="126"/>
      <c r="Z228" s="41">
        <f t="shared" si="143"/>
        <v>0</v>
      </c>
      <c r="AA228" s="42">
        <f t="shared" si="144"/>
        <v>-6503</v>
      </c>
      <c r="AB228" s="258"/>
      <c r="AC228" s="258"/>
    </row>
    <row r="229" spans="1:29" ht="34.5" thickBot="1" x14ac:dyDescent="0.3">
      <c r="E229" s="85">
        <v>11</v>
      </c>
      <c r="F229" s="194" t="s">
        <v>319</v>
      </c>
      <c r="G229" s="85">
        <v>3122</v>
      </c>
      <c r="H229" s="169">
        <v>5063</v>
      </c>
      <c r="I229" s="59"/>
      <c r="J229" s="59"/>
      <c r="K229" s="59"/>
      <c r="L229" s="59"/>
      <c r="M229" s="59"/>
      <c r="N229" s="58">
        <v>5063</v>
      </c>
      <c r="O229" s="59"/>
      <c r="P229" s="59"/>
      <c r="Q229" s="59"/>
      <c r="R229" s="59"/>
      <c r="S229" s="59"/>
      <c r="T229" s="229"/>
      <c r="U229" s="39">
        <f t="shared" si="146"/>
        <v>5063</v>
      </c>
      <c r="V229" s="64"/>
      <c r="W229" s="64"/>
      <c r="X229" s="41">
        <f t="shared" si="142"/>
        <v>0</v>
      </c>
      <c r="Y229" s="126"/>
      <c r="Z229" s="41">
        <f t="shared" si="143"/>
        <v>0</v>
      </c>
      <c r="AA229" s="42">
        <f t="shared" si="144"/>
        <v>-5063</v>
      </c>
      <c r="AB229" s="258"/>
      <c r="AC229" s="258"/>
    </row>
    <row r="230" spans="1:29" ht="57" thickBot="1" x14ac:dyDescent="0.3">
      <c r="E230" s="85">
        <v>12</v>
      </c>
      <c r="F230" s="194" t="s">
        <v>320</v>
      </c>
      <c r="G230" s="133">
        <v>3132</v>
      </c>
      <c r="H230" s="169">
        <v>500000</v>
      </c>
      <c r="I230" s="58">
        <v>50000</v>
      </c>
      <c r="J230" s="58">
        <v>450000</v>
      </c>
      <c r="K230" s="59"/>
      <c r="L230" s="59"/>
      <c r="M230" s="59"/>
      <c r="N230" s="59"/>
      <c r="O230" s="59"/>
      <c r="P230" s="59"/>
      <c r="Q230" s="59"/>
      <c r="R230" s="59"/>
      <c r="S230" s="59"/>
      <c r="T230" s="229"/>
      <c r="U230" s="39">
        <f t="shared" si="146"/>
        <v>500000</v>
      </c>
      <c r="V230" s="64"/>
      <c r="W230" s="64"/>
      <c r="X230" s="41">
        <f t="shared" si="142"/>
        <v>0</v>
      </c>
      <c r="Y230" s="126"/>
      <c r="Z230" s="41">
        <f t="shared" si="143"/>
        <v>0</v>
      </c>
      <c r="AA230" s="42">
        <f t="shared" si="144"/>
        <v>-500000</v>
      </c>
      <c r="AB230" s="258"/>
      <c r="AC230" s="258"/>
    </row>
    <row r="231" spans="1:29" ht="57" thickBot="1" x14ac:dyDescent="0.3">
      <c r="E231" s="85"/>
      <c r="F231" s="194" t="s">
        <v>321</v>
      </c>
      <c r="G231" s="133">
        <v>3132</v>
      </c>
      <c r="H231" s="169">
        <v>250000</v>
      </c>
      <c r="I231" s="59"/>
      <c r="J231" s="58">
        <v>50000</v>
      </c>
      <c r="K231" s="59"/>
      <c r="L231" s="58">
        <v>200000</v>
      </c>
      <c r="M231" s="59"/>
      <c r="N231" s="59"/>
      <c r="O231" s="59"/>
      <c r="P231" s="59"/>
      <c r="Q231" s="59"/>
      <c r="R231" s="59"/>
      <c r="S231" s="59"/>
      <c r="T231" s="229"/>
      <c r="U231" s="39">
        <f t="shared" si="146"/>
        <v>250000</v>
      </c>
      <c r="V231" s="64"/>
      <c r="W231" s="64"/>
      <c r="X231" s="41">
        <f t="shared" si="142"/>
        <v>0</v>
      </c>
      <c r="Y231" s="126"/>
      <c r="Z231" s="41">
        <f t="shared" si="143"/>
        <v>0</v>
      </c>
      <c r="AA231" s="42">
        <f t="shared" si="144"/>
        <v>-250000</v>
      </c>
      <c r="AB231" s="258"/>
      <c r="AC231" s="258"/>
    </row>
    <row r="232" spans="1:29" ht="57" thickBot="1" x14ac:dyDescent="0.3">
      <c r="E232" s="85"/>
      <c r="F232" s="194" t="s">
        <v>322</v>
      </c>
      <c r="G232" s="133">
        <v>3132</v>
      </c>
      <c r="H232" s="169">
        <v>250000</v>
      </c>
      <c r="I232" s="59"/>
      <c r="J232" s="58">
        <v>50000</v>
      </c>
      <c r="K232" s="58">
        <v>200000</v>
      </c>
      <c r="L232" s="59"/>
      <c r="M232" s="59"/>
      <c r="N232" s="59"/>
      <c r="O232" s="59"/>
      <c r="P232" s="59"/>
      <c r="Q232" s="59"/>
      <c r="R232" s="59"/>
      <c r="S232" s="59"/>
      <c r="T232" s="229"/>
      <c r="U232" s="39">
        <f t="shared" si="146"/>
        <v>250000</v>
      </c>
      <c r="V232" s="64"/>
      <c r="W232" s="64"/>
      <c r="X232" s="41">
        <f t="shared" si="142"/>
        <v>0</v>
      </c>
      <c r="Y232" s="126"/>
      <c r="Z232" s="41">
        <f t="shared" si="143"/>
        <v>0</v>
      </c>
      <c r="AA232" s="42">
        <f t="shared" si="144"/>
        <v>-250000</v>
      </c>
      <c r="AB232" s="258"/>
      <c r="AC232" s="258"/>
    </row>
    <row r="233" spans="1:29" ht="57" thickBot="1" x14ac:dyDescent="0.3">
      <c r="E233" s="85"/>
      <c r="F233" s="194" t="s">
        <v>323</v>
      </c>
      <c r="G233" s="133">
        <v>3132</v>
      </c>
      <c r="H233" s="169">
        <v>100000</v>
      </c>
      <c r="I233" s="59"/>
      <c r="J233" s="58">
        <v>76000</v>
      </c>
      <c r="K233" s="58">
        <v>24000</v>
      </c>
      <c r="L233" s="59"/>
      <c r="M233" s="59"/>
      <c r="N233" s="59"/>
      <c r="O233" s="59"/>
      <c r="P233" s="59"/>
      <c r="Q233" s="59"/>
      <c r="R233" s="59"/>
      <c r="S233" s="59"/>
      <c r="T233" s="229"/>
      <c r="U233" s="39">
        <f t="shared" si="146"/>
        <v>100000</v>
      </c>
      <c r="V233" s="64"/>
      <c r="W233" s="64"/>
      <c r="X233" s="41">
        <f t="shared" si="142"/>
        <v>0</v>
      </c>
      <c r="Y233" s="126"/>
      <c r="Z233" s="41">
        <f t="shared" si="143"/>
        <v>0</v>
      </c>
      <c r="AA233" s="42">
        <f t="shared" si="144"/>
        <v>-100000</v>
      </c>
      <c r="AB233" s="258"/>
      <c r="AC233" s="258"/>
    </row>
    <row r="234" spans="1:29" ht="34.5" thickBot="1" x14ac:dyDescent="0.3">
      <c r="E234" s="85"/>
      <c r="F234" s="194" t="s">
        <v>324</v>
      </c>
      <c r="G234" s="133">
        <v>3132</v>
      </c>
      <c r="H234" s="169">
        <v>1500000</v>
      </c>
      <c r="I234" s="59"/>
      <c r="J234" s="59"/>
      <c r="K234" s="59"/>
      <c r="L234" s="59"/>
      <c r="M234" s="59"/>
      <c r="N234" s="59"/>
      <c r="O234" s="59"/>
      <c r="P234" s="58">
        <v>156000</v>
      </c>
      <c r="Q234" s="59"/>
      <c r="R234" s="58">
        <v>114000</v>
      </c>
      <c r="S234" s="59"/>
      <c r="T234" s="144">
        <v>1230000</v>
      </c>
      <c r="U234" s="39">
        <f t="shared" si="146"/>
        <v>0</v>
      </c>
      <c r="V234" s="64"/>
      <c r="W234" s="64"/>
      <c r="X234" s="41">
        <f t="shared" si="142"/>
        <v>0</v>
      </c>
      <c r="Y234" s="126"/>
      <c r="Z234" s="41">
        <f t="shared" si="143"/>
        <v>0</v>
      </c>
      <c r="AA234" s="42">
        <f t="shared" si="144"/>
        <v>0</v>
      </c>
      <c r="AB234" s="258"/>
      <c r="AC234" s="258"/>
    </row>
    <row r="235" spans="1:29" ht="45.75" thickBot="1" x14ac:dyDescent="0.3">
      <c r="E235" s="85"/>
      <c r="F235" s="194" t="s">
        <v>325</v>
      </c>
      <c r="G235" s="133">
        <v>3132</v>
      </c>
      <c r="H235" s="169">
        <f>SUM(I235:T235)</f>
        <v>0</v>
      </c>
      <c r="I235" s="217"/>
      <c r="J235" s="217"/>
      <c r="K235" s="217"/>
      <c r="L235" s="217"/>
      <c r="M235" s="217"/>
      <c r="N235" s="217"/>
      <c r="O235" s="217"/>
      <c r="P235" s="217"/>
      <c r="Q235" s="217"/>
      <c r="R235" s="217"/>
      <c r="S235" s="217"/>
      <c r="T235" s="241"/>
      <c r="U235" s="39">
        <f t="shared" si="146"/>
        <v>0</v>
      </c>
      <c r="V235" s="64"/>
      <c r="W235" s="64"/>
      <c r="X235" s="41">
        <f t="shared" si="142"/>
        <v>0</v>
      </c>
      <c r="Y235" s="126"/>
      <c r="Z235" s="41">
        <f t="shared" si="143"/>
        <v>0</v>
      </c>
      <c r="AA235" s="42">
        <f t="shared" si="144"/>
        <v>0</v>
      </c>
      <c r="AB235" s="258"/>
      <c r="AC235" s="258"/>
    </row>
    <row r="236" spans="1:29" ht="57" thickBot="1" x14ac:dyDescent="0.3">
      <c r="E236" s="85"/>
      <c r="F236" s="194" t="s">
        <v>326</v>
      </c>
      <c r="G236" s="133">
        <v>3132</v>
      </c>
      <c r="H236" s="169">
        <v>56000</v>
      </c>
      <c r="I236" s="87"/>
      <c r="J236" s="87"/>
      <c r="K236" s="87"/>
      <c r="L236" s="87"/>
      <c r="M236" s="87"/>
      <c r="N236" s="87"/>
      <c r="O236" s="87"/>
      <c r="P236" s="87"/>
      <c r="Q236" s="88">
        <v>56000</v>
      </c>
      <c r="R236" s="87"/>
      <c r="S236" s="87"/>
      <c r="T236" s="229"/>
      <c r="U236" s="39">
        <f t="shared" si="146"/>
        <v>0</v>
      </c>
      <c r="V236" s="64"/>
      <c r="W236" s="64"/>
      <c r="X236" s="41">
        <f t="shared" si="142"/>
        <v>0</v>
      </c>
      <c r="Y236" s="126"/>
      <c r="Z236" s="41">
        <f t="shared" si="143"/>
        <v>0</v>
      </c>
      <c r="AA236" s="42">
        <f t="shared" si="144"/>
        <v>0</v>
      </c>
      <c r="AB236" s="258"/>
      <c r="AC236" s="258"/>
    </row>
    <row r="237" spans="1:29" ht="34.5" thickBot="1" x14ac:dyDescent="0.3">
      <c r="E237" s="85"/>
      <c r="F237" s="194" t="s">
        <v>327</v>
      </c>
      <c r="G237" s="133">
        <v>3132</v>
      </c>
      <c r="H237" s="169">
        <v>300000</v>
      </c>
      <c r="I237" s="59"/>
      <c r="J237" s="59"/>
      <c r="K237" s="59"/>
      <c r="L237" s="59"/>
      <c r="M237" s="59"/>
      <c r="N237" s="59"/>
      <c r="O237" s="59"/>
      <c r="P237" s="59"/>
      <c r="Q237" s="58">
        <v>164000</v>
      </c>
      <c r="R237" s="59"/>
      <c r="S237" s="58">
        <v>86000</v>
      </c>
      <c r="T237" s="229"/>
      <c r="U237" s="39">
        <f t="shared" si="146"/>
        <v>0</v>
      </c>
      <c r="V237" s="64"/>
      <c r="W237" s="64"/>
      <c r="X237" s="41">
        <f t="shared" si="142"/>
        <v>0</v>
      </c>
      <c r="Y237" s="126"/>
      <c r="Z237" s="41">
        <f t="shared" si="143"/>
        <v>0</v>
      </c>
      <c r="AA237" s="42">
        <f t="shared" si="144"/>
        <v>0</v>
      </c>
      <c r="AB237" s="258"/>
      <c r="AC237" s="258"/>
    </row>
    <row r="238" spans="1:29" ht="45.75" thickBot="1" x14ac:dyDescent="0.3">
      <c r="A238" t="s">
        <v>363</v>
      </c>
      <c r="D238" t="s">
        <v>344</v>
      </c>
      <c r="E238" s="85">
        <v>13</v>
      </c>
      <c r="F238" s="192" t="s">
        <v>328</v>
      </c>
      <c r="G238" s="133">
        <v>3132</v>
      </c>
      <c r="H238" s="169">
        <v>100000</v>
      </c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8">
        <v>100000</v>
      </c>
      <c r="T238" s="229"/>
      <c r="U238" s="39">
        <f t="shared" si="146"/>
        <v>0</v>
      </c>
      <c r="V238" s="64"/>
      <c r="W238" s="64"/>
      <c r="X238" s="41">
        <f t="shared" si="142"/>
        <v>0</v>
      </c>
      <c r="Y238" s="296">
        <f>25955</f>
        <v>25955</v>
      </c>
      <c r="Z238" s="41">
        <f t="shared" si="143"/>
        <v>25955</v>
      </c>
      <c r="AA238" s="42">
        <f t="shared" si="144"/>
        <v>25955</v>
      </c>
      <c r="AB238" s="258"/>
      <c r="AC238" s="258"/>
    </row>
    <row r="239" spans="1:29" ht="45.75" thickBot="1" x14ac:dyDescent="0.3">
      <c r="A239" t="s">
        <v>384</v>
      </c>
      <c r="B239" s="102">
        <v>44617</v>
      </c>
      <c r="D239" t="s">
        <v>385</v>
      </c>
      <c r="E239" s="85">
        <v>14</v>
      </c>
      <c r="F239" s="194" t="s">
        <v>329</v>
      </c>
      <c r="G239" s="133">
        <v>3132</v>
      </c>
      <c r="H239" s="169">
        <v>60000</v>
      </c>
      <c r="I239" s="59"/>
      <c r="J239" s="59"/>
      <c r="K239" s="58">
        <v>60000</v>
      </c>
      <c r="L239" s="59"/>
      <c r="M239" s="59"/>
      <c r="N239" s="59"/>
      <c r="O239" s="59"/>
      <c r="P239" s="59"/>
      <c r="Q239" s="58">
        <v>50000</v>
      </c>
      <c r="R239" s="59"/>
      <c r="S239" s="59"/>
      <c r="T239" s="229"/>
      <c r="U239" s="39">
        <f t="shared" si="146"/>
        <v>60000</v>
      </c>
      <c r="V239" s="64"/>
      <c r="W239" s="64"/>
      <c r="X239" s="41">
        <f t="shared" si="142"/>
        <v>0</v>
      </c>
      <c r="Y239" s="126">
        <f>49952</f>
        <v>49952</v>
      </c>
      <c r="Z239" s="41">
        <f t="shared" si="143"/>
        <v>49952</v>
      </c>
      <c r="AA239" s="42">
        <f t="shared" si="144"/>
        <v>-10048</v>
      </c>
      <c r="AB239" s="258"/>
      <c r="AC239" s="258"/>
    </row>
    <row r="240" spans="1:29" ht="45.75" thickBot="1" x14ac:dyDescent="0.3">
      <c r="E240" s="85">
        <v>15</v>
      </c>
      <c r="F240" s="194" t="s">
        <v>330</v>
      </c>
      <c r="G240" s="133">
        <v>3132</v>
      </c>
      <c r="H240" s="169">
        <v>1500000</v>
      </c>
      <c r="I240" s="59"/>
      <c r="J240" s="59"/>
      <c r="K240" s="58">
        <v>98000</v>
      </c>
      <c r="L240" s="58">
        <v>623000</v>
      </c>
      <c r="M240" s="58">
        <v>675000</v>
      </c>
      <c r="N240" s="58">
        <v>104000</v>
      </c>
      <c r="O240" s="59"/>
      <c r="P240" s="59"/>
      <c r="Q240" s="59"/>
      <c r="R240" s="59"/>
      <c r="S240" s="59"/>
      <c r="T240" s="229"/>
      <c r="U240" s="39">
        <f t="shared" si="146"/>
        <v>1500000</v>
      </c>
      <c r="V240" s="64"/>
      <c r="W240" s="64"/>
      <c r="X240" s="41">
        <f t="shared" si="142"/>
        <v>0</v>
      </c>
      <c r="Y240" s="126"/>
      <c r="Z240" s="41">
        <f t="shared" si="143"/>
        <v>0</v>
      </c>
      <c r="AA240" s="42">
        <f t="shared" si="144"/>
        <v>-1500000</v>
      </c>
      <c r="AB240" s="258"/>
      <c r="AC240" s="258"/>
    </row>
    <row r="241" spans="1:29" ht="68.25" thickBot="1" x14ac:dyDescent="0.3">
      <c r="E241" s="85">
        <v>16</v>
      </c>
      <c r="F241" s="194" t="s">
        <v>331</v>
      </c>
      <c r="G241" s="133">
        <v>3132</v>
      </c>
      <c r="H241" s="169">
        <v>500000</v>
      </c>
      <c r="I241" s="59"/>
      <c r="J241" s="59"/>
      <c r="K241" s="58">
        <v>500000</v>
      </c>
      <c r="L241" s="59"/>
      <c r="M241" s="59"/>
      <c r="N241" s="59"/>
      <c r="O241" s="59"/>
      <c r="P241" s="59"/>
      <c r="Q241" s="59"/>
      <c r="R241" s="59"/>
      <c r="S241" s="59"/>
      <c r="T241" s="229"/>
      <c r="U241" s="39">
        <f t="shared" si="146"/>
        <v>500000</v>
      </c>
      <c r="V241" s="64"/>
      <c r="W241" s="64"/>
      <c r="X241" s="41">
        <f t="shared" si="142"/>
        <v>0</v>
      </c>
      <c r="Y241" s="64"/>
      <c r="Z241" s="41">
        <f t="shared" si="143"/>
        <v>0</v>
      </c>
      <c r="AA241" s="42">
        <f t="shared" si="144"/>
        <v>-500000</v>
      </c>
      <c r="AB241" s="258"/>
      <c r="AC241" s="258"/>
    </row>
    <row r="242" spans="1:29" ht="45.75" thickBot="1" x14ac:dyDescent="0.3">
      <c r="E242" s="85">
        <v>17</v>
      </c>
      <c r="F242" s="194" t="s">
        <v>332</v>
      </c>
      <c r="G242" s="133">
        <v>3132</v>
      </c>
      <c r="H242" s="169">
        <v>100000</v>
      </c>
      <c r="I242" s="59"/>
      <c r="J242" s="59"/>
      <c r="K242" s="59"/>
      <c r="L242" s="59"/>
      <c r="M242" s="59"/>
      <c r="N242" s="58">
        <v>100000</v>
      </c>
      <c r="O242" s="59"/>
      <c r="P242" s="59"/>
      <c r="Q242" s="59"/>
      <c r="R242" s="59"/>
      <c r="S242" s="59"/>
      <c r="T242" s="229"/>
      <c r="U242" s="39">
        <f t="shared" si="146"/>
        <v>100000</v>
      </c>
      <c r="V242" s="64"/>
      <c r="W242" s="64"/>
      <c r="X242" s="41">
        <f t="shared" si="142"/>
        <v>0</v>
      </c>
      <c r="Y242" s="64"/>
      <c r="Z242" s="41">
        <f t="shared" si="143"/>
        <v>0</v>
      </c>
      <c r="AA242" s="42">
        <f t="shared" si="144"/>
        <v>-100000</v>
      </c>
      <c r="AB242" s="258"/>
      <c r="AC242" s="258"/>
    </row>
    <row r="243" spans="1:29" ht="45.75" thickBot="1" x14ac:dyDescent="0.3">
      <c r="E243" s="85">
        <v>18</v>
      </c>
      <c r="F243" s="194" t="s">
        <v>333</v>
      </c>
      <c r="G243" s="133">
        <v>3132</v>
      </c>
      <c r="H243" s="169">
        <v>100000</v>
      </c>
      <c r="I243" s="59"/>
      <c r="J243" s="59"/>
      <c r="K243" s="59"/>
      <c r="L243" s="59"/>
      <c r="M243" s="59"/>
      <c r="N243" s="58">
        <v>100000</v>
      </c>
      <c r="O243" s="59"/>
      <c r="P243" s="59"/>
      <c r="Q243" s="59"/>
      <c r="R243" s="59"/>
      <c r="S243" s="59"/>
      <c r="T243" s="229"/>
      <c r="U243" s="39">
        <f t="shared" si="146"/>
        <v>100000</v>
      </c>
      <c r="V243" s="64"/>
      <c r="W243" s="64"/>
      <c r="X243" s="41">
        <f t="shared" si="142"/>
        <v>0</v>
      </c>
      <c r="Y243" s="64"/>
      <c r="Z243" s="41">
        <f t="shared" si="143"/>
        <v>0</v>
      </c>
      <c r="AA243" s="42">
        <f t="shared" si="144"/>
        <v>-100000</v>
      </c>
      <c r="AB243" s="258"/>
      <c r="AC243" s="258"/>
    </row>
    <row r="244" spans="1:29" ht="45.75" thickBot="1" x14ac:dyDescent="0.3">
      <c r="E244" s="85">
        <v>19</v>
      </c>
      <c r="F244" s="194" t="s">
        <v>334</v>
      </c>
      <c r="G244" s="133">
        <v>3132</v>
      </c>
      <c r="H244" s="169">
        <v>100000</v>
      </c>
      <c r="I244" s="59"/>
      <c r="J244" s="59"/>
      <c r="K244" s="59"/>
      <c r="L244" s="59"/>
      <c r="M244" s="59"/>
      <c r="N244" s="58">
        <v>100000</v>
      </c>
      <c r="O244" s="59"/>
      <c r="P244" s="59"/>
      <c r="Q244" s="59"/>
      <c r="R244" s="59"/>
      <c r="S244" s="59"/>
      <c r="T244" s="229"/>
      <c r="U244" s="39">
        <f t="shared" si="146"/>
        <v>100000</v>
      </c>
      <c r="V244" s="64"/>
      <c r="W244" s="64"/>
      <c r="X244" s="41">
        <f t="shared" si="142"/>
        <v>0</v>
      </c>
      <c r="Y244" s="64"/>
      <c r="Z244" s="41">
        <f t="shared" si="143"/>
        <v>0</v>
      </c>
      <c r="AA244" s="42">
        <f t="shared" si="144"/>
        <v>-100000</v>
      </c>
      <c r="AB244" s="258"/>
      <c r="AC244" s="258"/>
    </row>
    <row r="245" spans="1:29" ht="34.5" thickBot="1" x14ac:dyDescent="0.3">
      <c r="E245" s="85">
        <v>20</v>
      </c>
      <c r="F245" s="194" t="s">
        <v>335</v>
      </c>
      <c r="G245" s="85">
        <v>3142</v>
      </c>
      <c r="H245" s="169">
        <v>500000</v>
      </c>
      <c r="I245" s="59"/>
      <c r="J245" s="59"/>
      <c r="K245" s="59"/>
      <c r="L245" s="59"/>
      <c r="M245" s="59"/>
      <c r="N245" s="58">
        <v>282387</v>
      </c>
      <c r="O245" s="58">
        <v>100000</v>
      </c>
      <c r="P245" s="58">
        <v>117613</v>
      </c>
      <c r="Q245" s="59"/>
      <c r="R245" s="59"/>
      <c r="S245" s="59"/>
      <c r="T245" s="229"/>
      <c r="U245" s="39">
        <f t="shared" si="146"/>
        <v>382387</v>
      </c>
      <c r="V245" s="64"/>
      <c r="W245" s="64"/>
      <c r="X245" s="41">
        <f t="shared" si="142"/>
        <v>0</v>
      </c>
      <c r="Y245" s="64"/>
      <c r="Z245" s="41">
        <f t="shared" si="143"/>
        <v>0</v>
      </c>
      <c r="AA245" s="42">
        <f t="shared" si="144"/>
        <v>-382387</v>
      </c>
      <c r="AB245" s="258"/>
      <c r="AC245" s="258"/>
    </row>
    <row r="246" spans="1:29" ht="34.5" thickBot="1" x14ac:dyDescent="0.3">
      <c r="E246" s="85">
        <v>21</v>
      </c>
      <c r="F246" s="194" t="s">
        <v>336</v>
      </c>
      <c r="G246" s="85">
        <v>3142</v>
      </c>
      <c r="H246" s="169">
        <v>300000</v>
      </c>
      <c r="I246" s="59"/>
      <c r="J246" s="59"/>
      <c r="K246" s="59"/>
      <c r="L246" s="59"/>
      <c r="M246" s="59"/>
      <c r="N246" s="59"/>
      <c r="O246" s="59"/>
      <c r="P246" s="58">
        <v>282387</v>
      </c>
      <c r="Q246" s="58">
        <v>17613</v>
      </c>
      <c r="R246" s="59"/>
      <c r="S246" s="59"/>
      <c r="T246" s="229"/>
      <c r="U246" s="39">
        <f t="shared" si="146"/>
        <v>0</v>
      </c>
      <c r="V246" s="64"/>
      <c r="W246" s="64"/>
      <c r="X246" s="41">
        <f t="shared" si="142"/>
        <v>0</v>
      </c>
      <c r="Y246" s="64"/>
      <c r="Z246" s="41">
        <f t="shared" si="143"/>
        <v>0</v>
      </c>
      <c r="AA246" s="42">
        <f t="shared" si="144"/>
        <v>0</v>
      </c>
      <c r="AB246" s="258"/>
      <c r="AC246" s="258"/>
    </row>
    <row r="247" spans="1:29" ht="15.75" thickBot="1" x14ac:dyDescent="0.3">
      <c r="E247" s="141"/>
      <c r="F247" s="96" t="s">
        <v>192</v>
      </c>
      <c r="G247" s="170"/>
      <c r="H247" s="171">
        <f>SUM(H219:H229)</f>
        <v>4461613</v>
      </c>
      <c r="I247" s="171">
        <f t="shared" ref="I247:AA247" si="148">SUM(I219:I229)</f>
        <v>114000</v>
      </c>
      <c r="J247" s="171">
        <f t="shared" si="148"/>
        <v>0</v>
      </c>
      <c r="K247" s="171">
        <f t="shared" si="148"/>
        <v>1140000</v>
      </c>
      <c r="L247" s="171">
        <f t="shared" si="148"/>
        <v>0</v>
      </c>
      <c r="M247" s="171">
        <f t="shared" si="148"/>
        <v>1100000</v>
      </c>
      <c r="N247" s="171">
        <f t="shared" si="148"/>
        <v>113613</v>
      </c>
      <c r="O247" s="171">
        <f t="shared" si="148"/>
        <v>0</v>
      </c>
      <c r="P247" s="171">
        <f t="shared" si="148"/>
        <v>870000</v>
      </c>
      <c r="Q247" s="171">
        <f t="shared" si="148"/>
        <v>1120000</v>
      </c>
      <c r="R247" s="171">
        <f t="shared" si="148"/>
        <v>0</v>
      </c>
      <c r="S247" s="171">
        <f t="shared" si="148"/>
        <v>4000</v>
      </c>
      <c r="T247" s="242">
        <f t="shared" si="148"/>
        <v>0</v>
      </c>
      <c r="U247" s="171">
        <f>SUM(U219:U229)</f>
        <v>2467613</v>
      </c>
      <c r="V247" s="171">
        <f t="shared" si="148"/>
        <v>0</v>
      </c>
      <c r="W247" s="171">
        <f t="shared" si="148"/>
        <v>0</v>
      </c>
      <c r="X247" s="171">
        <f t="shared" si="148"/>
        <v>0</v>
      </c>
      <c r="Y247" s="171">
        <f t="shared" si="148"/>
        <v>16203.18</v>
      </c>
      <c r="Z247" s="171">
        <f t="shared" si="148"/>
        <v>16203.18</v>
      </c>
      <c r="AA247" s="171">
        <f t="shared" si="148"/>
        <v>-2451409.8199999998</v>
      </c>
      <c r="AB247" s="270"/>
      <c r="AC247" s="270"/>
    </row>
    <row r="248" spans="1:29" ht="15.75" thickBot="1" x14ac:dyDescent="0.3">
      <c r="E248" s="141"/>
      <c r="F248" s="96" t="s">
        <v>245</v>
      </c>
      <c r="G248" s="170"/>
      <c r="H248" s="171">
        <f>SUM(H230:H244)</f>
        <v>5416000</v>
      </c>
      <c r="I248" s="171">
        <f t="shared" ref="I248:AA248" si="149">SUM(I230:I244)</f>
        <v>50000</v>
      </c>
      <c r="J248" s="171">
        <f t="shared" si="149"/>
        <v>626000</v>
      </c>
      <c r="K248" s="171">
        <f t="shared" si="149"/>
        <v>882000</v>
      </c>
      <c r="L248" s="171">
        <f t="shared" si="149"/>
        <v>823000</v>
      </c>
      <c r="M248" s="171">
        <f t="shared" si="149"/>
        <v>675000</v>
      </c>
      <c r="N248" s="171">
        <f t="shared" si="149"/>
        <v>404000</v>
      </c>
      <c r="O248" s="171">
        <f t="shared" si="149"/>
        <v>0</v>
      </c>
      <c r="P248" s="171">
        <f t="shared" si="149"/>
        <v>156000</v>
      </c>
      <c r="Q248" s="171">
        <f t="shared" si="149"/>
        <v>270000</v>
      </c>
      <c r="R248" s="171">
        <f t="shared" si="149"/>
        <v>114000</v>
      </c>
      <c r="S248" s="171">
        <f t="shared" si="149"/>
        <v>186000</v>
      </c>
      <c r="T248" s="242">
        <f t="shared" si="149"/>
        <v>1230000</v>
      </c>
      <c r="U248" s="171">
        <f t="shared" si="149"/>
        <v>3460000</v>
      </c>
      <c r="V248" s="171">
        <f t="shared" si="149"/>
        <v>0</v>
      </c>
      <c r="W248" s="171">
        <f t="shared" si="149"/>
        <v>0</v>
      </c>
      <c r="X248" s="171">
        <f t="shared" si="149"/>
        <v>0</v>
      </c>
      <c r="Y248" s="171">
        <f t="shared" si="149"/>
        <v>75907</v>
      </c>
      <c r="Z248" s="171">
        <f t="shared" si="149"/>
        <v>75907</v>
      </c>
      <c r="AA248" s="171">
        <f t="shared" si="149"/>
        <v>-3384093</v>
      </c>
      <c r="AB248" s="270"/>
      <c r="AC248" s="270"/>
    </row>
    <row r="249" spans="1:29" ht="15.75" thickBot="1" x14ac:dyDescent="0.3">
      <c r="E249" s="141"/>
      <c r="F249" s="96" t="s">
        <v>291</v>
      </c>
      <c r="G249" s="170"/>
      <c r="H249" s="171">
        <f>SUM(H245:H246)</f>
        <v>800000</v>
      </c>
      <c r="I249" s="171">
        <f t="shared" ref="I249:AA249" si="150">SUM(I245:I246)</f>
        <v>0</v>
      </c>
      <c r="J249" s="171">
        <f t="shared" si="150"/>
        <v>0</v>
      </c>
      <c r="K249" s="171">
        <f t="shared" si="150"/>
        <v>0</v>
      </c>
      <c r="L249" s="171">
        <f t="shared" si="150"/>
        <v>0</v>
      </c>
      <c r="M249" s="171">
        <f t="shared" si="150"/>
        <v>0</v>
      </c>
      <c r="N249" s="171">
        <f t="shared" si="150"/>
        <v>282387</v>
      </c>
      <c r="O249" s="171">
        <f t="shared" si="150"/>
        <v>100000</v>
      </c>
      <c r="P249" s="171">
        <f t="shared" si="150"/>
        <v>400000</v>
      </c>
      <c r="Q249" s="171">
        <f t="shared" si="150"/>
        <v>17613</v>
      </c>
      <c r="R249" s="171">
        <f t="shared" si="150"/>
        <v>0</v>
      </c>
      <c r="S249" s="171">
        <f t="shared" si="150"/>
        <v>0</v>
      </c>
      <c r="T249" s="242">
        <f t="shared" si="150"/>
        <v>0</v>
      </c>
      <c r="U249" s="171">
        <f t="shared" si="150"/>
        <v>382387</v>
      </c>
      <c r="V249" s="171">
        <f t="shared" si="150"/>
        <v>0</v>
      </c>
      <c r="W249" s="171">
        <f t="shared" si="150"/>
        <v>0</v>
      </c>
      <c r="X249" s="171">
        <f t="shared" si="150"/>
        <v>0</v>
      </c>
      <c r="Y249" s="171">
        <f t="shared" si="150"/>
        <v>0</v>
      </c>
      <c r="Z249" s="171">
        <f t="shared" si="150"/>
        <v>0</v>
      </c>
      <c r="AA249" s="171">
        <f t="shared" si="150"/>
        <v>-382387</v>
      </c>
      <c r="AB249" s="270"/>
      <c r="AC249" s="270"/>
    </row>
    <row r="250" spans="1:29" ht="15.75" thickBot="1" x14ac:dyDescent="0.3">
      <c r="F250" s="79" t="s">
        <v>178</v>
      </c>
      <c r="G250" s="79"/>
      <c r="H250" s="89">
        <f>SUM(H247:H249)</f>
        <v>10677613</v>
      </c>
      <c r="I250" s="89">
        <f t="shared" ref="I250:AA250" si="151">SUM(I247:I249)</f>
        <v>164000</v>
      </c>
      <c r="J250" s="89">
        <f t="shared" si="151"/>
        <v>626000</v>
      </c>
      <c r="K250" s="89">
        <f t="shared" si="151"/>
        <v>2022000</v>
      </c>
      <c r="L250" s="89">
        <f t="shared" si="151"/>
        <v>823000</v>
      </c>
      <c r="M250" s="89">
        <f t="shared" si="151"/>
        <v>1775000</v>
      </c>
      <c r="N250" s="89">
        <f t="shared" si="151"/>
        <v>800000</v>
      </c>
      <c r="O250" s="89">
        <f t="shared" si="151"/>
        <v>100000</v>
      </c>
      <c r="P250" s="89">
        <f t="shared" si="151"/>
        <v>1426000</v>
      </c>
      <c r="Q250" s="89">
        <f t="shared" si="151"/>
        <v>1407613</v>
      </c>
      <c r="R250" s="89">
        <f t="shared" si="151"/>
        <v>114000</v>
      </c>
      <c r="S250" s="89">
        <f t="shared" si="151"/>
        <v>190000</v>
      </c>
      <c r="T250" s="243">
        <f t="shared" si="151"/>
        <v>1230000</v>
      </c>
      <c r="U250" s="89">
        <f t="shared" si="151"/>
        <v>6310000</v>
      </c>
      <c r="V250" s="89">
        <f t="shared" si="151"/>
        <v>0</v>
      </c>
      <c r="W250" s="89">
        <f t="shared" si="151"/>
        <v>0</v>
      </c>
      <c r="X250" s="89">
        <f t="shared" si="151"/>
        <v>0</v>
      </c>
      <c r="Y250" s="89">
        <f t="shared" si="151"/>
        <v>92110.18</v>
      </c>
      <c r="Z250" s="89">
        <f t="shared" si="151"/>
        <v>92110.18</v>
      </c>
      <c r="AA250" s="89">
        <f t="shared" si="151"/>
        <v>-6217889.8200000003</v>
      </c>
      <c r="AB250" s="266"/>
      <c r="AC250" s="266"/>
    </row>
    <row r="251" spans="1:29" ht="34.5" hidden="1" customHeight="1" thickTop="1" thickBot="1" x14ac:dyDescent="0.3">
      <c r="A251" s="3" t="s">
        <v>0</v>
      </c>
      <c r="B251" s="3" t="s">
        <v>1</v>
      </c>
      <c r="C251" s="3"/>
      <c r="D251" s="4" t="s">
        <v>3</v>
      </c>
      <c r="E251" s="83">
        <v>3117380</v>
      </c>
      <c r="F251" s="445" t="s">
        <v>247</v>
      </c>
      <c r="G251" s="446"/>
      <c r="H251" s="7" t="s">
        <v>155</v>
      </c>
      <c r="I251" s="8" t="s">
        <v>7</v>
      </c>
      <c r="J251" s="9" t="s">
        <v>8</v>
      </c>
      <c r="K251" s="9" t="s">
        <v>9</v>
      </c>
      <c r="L251" s="8" t="s">
        <v>10</v>
      </c>
      <c r="M251" s="8" t="s">
        <v>11</v>
      </c>
      <c r="N251" s="10" t="s">
        <v>12</v>
      </c>
      <c r="O251" s="11" t="s">
        <v>13</v>
      </c>
      <c r="P251" s="12" t="s">
        <v>14</v>
      </c>
      <c r="Q251" s="12" t="s">
        <v>15</v>
      </c>
      <c r="R251" s="13" t="s">
        <v>16</v>
      </c>
      <c r="S251" s="8" t="s">
        <v>17</v>
      </c>
      <c r="T251" s="221" t="s">
        <v>18</v>
      </c>
      <c r="U251" s="7" t="s">
        <v>356</v>
      </c>
      <c r="V251" s="7" t="s">
        <v>19</v>
      </c>
      <c r="W251" s="7" t="s">
        <v>20</v>
      </c>
      <c r="X251" s="7" t="s">
        <v>21</v>
      </c>
      <c r="Y251" s="5" t="s">
        <v>22</v>
      </c>
      <c r="Z251" s="14" t="s">
        <v>23</v>
      </c>
      <c r="AA251" s="14" t="s">
        <v>24</v>
      </c>
      <c r="AB251" s="255"/>
      <c r="AC251" s="255"/>
    </row>
    <row r="252" spans="1:29" ht="79.5" hidden="1" thickBot="1" x14ac:dyDescent="0.3">
      <c r="E252" s="85">
        <v>1</v>
      </c>
      <c r="F252" s="135" t="s">
        <v>248</v>
      </c>
      <c r="G252" s="85">
        <v>3132</v>
      </c>
      <c r="H252" s="136"/>
      <c r="I252" s="137"/>
      <c r="J252" s="142"/>
      <c r="K252" s="137"/>
      <c r="L252" s="137"/>
      <c r="M252" s="139"/>
      <c r="N252" s="139"/>
      <c r="O252" s="139"/>
      <c r="P252" s="139"/>
      <c r="Q252" s="139"/>
      <c r="R252" s="87"/>
      <c r="S252" s="85"/>
      <c r="T252" s="244"/>
      <c r="U252" s="39"/>
      <c r="V252" s="64"/>
      <c r="W252" s="64"/>
      <c r="X252" s="41">
        <f t="shared" ref="X252" si="152">W252-V252</f>
        <v>0</v>
      </c>
      <c r="Y252" s="64"/>
      <c r="Z252" s="41">
        <f t="shared" ref="Z252" si="153">Y252-V252</f>
        <v>0</v>
      </c>
      <c r="AA252" s="42">
        <f t="shared" ref="AA252" si="154">Y252-U252</f>
        <v>0</v>
      </c>
      <c r="AB252" s="258"/>
      <c r="AC252" s="258"/>
    </row>
    <row r="253" spans="1:29" ht="15.75" hidden="1" thickBot="1" x14ac:dyDescent="0.3">
      <c r="E253" s="141"/>
      <c r="F253" s="79" t="s">
        <v>249</v>
      </c>
      <c r="G253" s="79"/>
      <c r="H253" s="89">
        <f>SUM(H252)</f>
        <v>0</v>
      </c>
      <c r="I253" s="89">
        <f t="shared" ref="I253:AA253" si="155">SUM(I252)</f>
        <v>0</v>
      </c>
      <c r="J253" s="89">
        <f t="shared" si="155"/>
        <v>0</v>
      </c>
      <c r="K253" s="89">
        <f t="shared" si="155"/>
        <v>0</v>
      </c>
      <c r="L253" s="89">
        <f t="shared" si="155"/>
        <v>0</v>
      </c>
      <c r="M253" s="89">
        <f t="shared" si="155"/>
        <v>0</v>
      </c>
      <c r="N253" s="89">
        <f t="shared" si="155"/>
        <v>0</v>
      </c>
      <c r="O253" s="89">
        <f t="shared" si="155"/>
        <v>0</v>
      </c>
      <c r="P253" s="89">
        <f t="shared" si="155"/>
        <v>0</v>
      </c>
      <c r="Q253" s="89">
        <f t="shared" si="155"/>
        <v>0</v>
      </c>
      <c r="R253" s="89">
        <f t="shared" si="155"/>
        <v>0</v>
      </c>
      <c r="S253" s="89">
        <f t="shared" si="155"/>
        <v>0</v>
      </c>
      <c r="T253" s="243">
        <f t="shared" si="155"/>
        <v>0</v>
      </c>
      <c r="U253" s="89">
        <f t="shared" si="155"/>
        <v>0</v>
      </c>
      <c r="V253" s="89">
        <f t="shared" si="155"/>
        <v>0</v>
      </c>
      <c r="W253" s="89">
        <f t="shared" si="155"/>
        <v>0</v>
      </c>
      <c r="X253" s="89">
        <f t="shared" si="155"/>
        <v>0</v>
      </c>
      <c r="Y253" s="89">
        <f t="shared" si="155"/>
        <v>0</v>
      </c>
      <c r="Z253" s="89">
        <f t="shared" si="155"/>
        <v>0</v>
      </c>
      <c r="AA253" s="89">
        <f t="shared" si="155"/>
        <v>0</v>
      </c>
      <c r="AB253" s="266"/>
      <c r="AC253" s="266"/>
    </row>
    <row r="254" spans="1:29" ht="42" customHeight="1" thickTop="1" thickBot="1" x14ac:dyDescent="0.3">
      <c r="A254" s="3" t="s">
        <v>0</v>
      </c>
      <c r="B254" s="3" t="s">
        <v>1</v>
      </c>
      <c r="C254" s="3"/>
      <c r="D254" s="4" t="s">
        <v>3</v>
      </c>
      <c r="E254" s="83">
        <v>3117691</v>
      </c>
      <c r="F254" s="445" t="s">
        <v>191</v>
      </c>
      <c r="G254" s="446"/>
      <c r="H254" s="7" t="s">
        <v>155</v>
      </c>
      <c r="I254" s="8" t="s">
        <v>7</v>
      </c>
      <c r="J254" s="9" t="s">
        <v>8</v>
      </c>
      <c r="K254" s="9" t="s">
        <v>9</v>
      </c>
      <c r="L254" s="8" t="s">
        <v>10</v>
      </c>
      <c r="M254" s="8" t="s">
        <v>11</v>
      </c>
      <c r="N254" s="10" t="s">
        <v>12</v>
      </c>
      <c r="O254" s="11" t="s">
        <v>13</v>
      </c>
      <c r="P254" s="12" t="s">
        <v>14</v>
      </c>
      <c r="Q254" s="12" t="s">
        <v>15</v>
      </c>
      <c r="R254" s="13" t="s">
        <v>16</v>
      </c>
      <c r="S254" s="8" t="s">
        <v>17</v>
      </c>
      <c r="T254" s="221" t="s">
        <v>18</v>
      </c>
      <c r="U254" s="7" t="s">
        <v>426</v>
      </c>
      <c r="V254" s="7" t="s">
        <v>19</v>
      </c>
      <c r="W254" s="7" t="s">
        <v>20</v>
      </c>
      <c r="X254" s="7" t="s">
        <v>21</v>
      </c>
      <c r="Y254" s="5" t="s">
        <v>22</v>
      </c>
      <c r="Z254" s="14" t="s">
        <v>23</v>
      </c>
      <c r="AA254" s="14" t="s">
        <v>24</v>
      </c>
      <c r="AB254" s="255"/>
      <c r="AC254" s="255"/>
    </row>
    <row r="255" spans="1:29" ht="31.5" customHeight="1" thickTop="1" thickBot="1" x14ac:dyDescent="0.3">
      <c r="F255" s="471" t="s">
        <v>189</v>
      </c>
      <c r="G255" s="472"/>
      <c r="H255" s="472"/>
    </row>
    <row r="256" spans="1:29" ht="51.75" thickBot="1" x14ac:dyDescent="0.3">
      <c r="A256">
        <v>93</v>
      </c>
      <c r="B256" s="102">
        <v>44678</v>
      </c>
      <c r="C256">
        <v>3200</v>
      </c>
      <c r="D256" t="s">
        <v>381</v>
      </c>
      <c r="F256" s="91" t="s">
        <v>180</v>
      </c>
      <c r="G256" s="44">
        <v>2240</v>
      </c>
      <c r="H256" s="68">
        <f t="shared" ref="H256:H263" si="156">SUM(I256:T256)</f>
        <v>140000</v>
      </c>
      <c r="I256" s="93">
        <v>40000</v>
      </c>
      <c r="J256" s="48"/>
      <c r="K256" s="48"/>
      <c r="L256" s="61">
        <v>100000</v>
      </c>
      <c r="M256" s="48"/>
      <c r="N256" s="48"/>
      <c r="O256" s="48"/>
      <c r="P256" s="48"/>
      <c r="Q256" s="48"/>
      <c r="R256" s="48"/>
      <c r="S256" s="48"/>
      <c r="T256" s="231"/>
      <c r="U256" s="39">
        <f>I256+J256+K256+L256+M256+N256+O256</f>
        <v>140000</v>
      </c>
      <c r="V256" s="64"/>
      <c r="W256" s="64"/>
      <c r="X256" s="41">
        <f t="shared" ref="X256:X263" si="157">W256-V256</f>
        <v>0</v>
      </c>
      <c r="Y256" s="64">
        <f>3200</f>
        <v>3200</v>
      </c>
      <c r="Z256" s="41">
        <f t="shared" ref="Z256:Z263" si="158">Y256-V256</f>
        <v>3200</v>
      </c>
      <c r="AA256" s="42">
        <f t="shared" ref="AA256:AA263" si="159">Y256-U256</f>
        <v>-136800</v>
      </c>
      <c r="AB256" s="258"/>
      <c r="AC256" s="258"/>
    </row>
    <row r="257" spans="1:30" ht="39" thickBot="1" x14ac:dyDescent="0.3">
      <c r="F257" s="91" t="s">
        <v>181</v>
      </c>
      <c r="G257" s="44">
        <v>2240</v>
      </c>
      <c r="H257" s="68">
        <f t="shared" si="156"/>
        <v>20000</v>
      </c>
      <c r="I257" s="94"/>
      <c r="J257" s="48"/>
      <c r="K257" s="48"/>
      <c r="L257" s="48"/>
      <c r="M257" s="48"/>
      <c r="N257" s="48"/>
      <c r="O257" s="48"/>
      <c r="P257" s="48"/>
      <c r="Q257" s="48"/>
      <c r="R257" s="61">
        <v>10000</v>
      </c>
      <c r="S257" s="61">
        <v>10000</v>
      </c>
      <c r="T257" s="231"/>
      <c r="U257" s="39">
        <f t="shared" ref="U257:U263" si="160">I257+J257+K257+L257+M257+N257+O257</f>
        <v>0</v>
      </c>
      <c r="V257" s="64"/>
      <c r="W257" s="64"/>
      <c r="X257" s="41">
        <f t="shared" si="157"/>
        <v>0</v>
      </c>
      <c r="Y257" s="64"/>
      <c r="Z257" s="41">
        <f t="shared" si="158"/>
        <v>0</v>
      </c>
      <c r="AA257" s="42">
        <f t="shared" si="159"/>
        <v>0</v>
      </c>
      <c r="AB257" s="258"/>
      <c r="AC257" s="258"/>
    </row>
    <row r="258" spans="1:30" ht="26.25" thickBot="1" x14ac:dyDescent="0.3">
      <c r="F258" s="91" t="s">
        <v>182</v>
      </c>
      <c r="G258" s="44">
        <v>2240</v>
      </c>
      <c r="H258" s="68">
        <f t="shared" si="156"/>
        <v>40000</v>
      </c>
      <c r="I258" s="93">
        <v>40000</v>
      </c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231"/>
      <c r="U258" s="39">
        <f t="shared" si="160"/>
        <v>40000</v>
      </c>
      <c r="V258" s="64"/>
      <c r="W258" s="64"/>
      <c r="X258" s="41">
        <f t="shared" si="157"/>
        <v>0</v>
      </c>
      <c r="Y258" s="64"/>
      <c r="Z258" s="41">
        <f t="shared" si="158"/>
        <v>0</v>
      </c>
      <c r="AA258" s="42">
        <f t="shared" si="159"/>
        <v>-40000</v>
      </c>
      <c r="AB258" s="258"/>
      <c r="AC258" s="258"/>
    </row>
    <row r="259" spans="1:30" ht="39" thickBot="1" x14ac:dyDescent="0.3">
      <c r="F259" s="91" t="s">
        <v>183</v>
      </c>
      <c r="G259" s="44">
        <v>2240</v>
      </c>
      <c r="H259" s="68">
        <f t="shared" si="156"/>
        <v>300000</v>
      </c>
      <c r="I259" s="94"/>
      <c r="J259" s="48"/>
      <c r="K259" s="48"/>
      <c r="L259" s="48"/>
      <c r="M259" s="61">
        <v>100000</v>
      </c>
      <c r="N259" s="61">
        <v>100000</v>
      </c>
      <c r="O259" s="61">
        <v>100000</v>
      </c>
      <c r="P259" s="48"/>
      <c r="Q259" s="48"/>
      <c r="R259" s="48"/>
      <c r="S259" s="48"/>
      <c r="T259" s="231"/>
      <c r="U259" s="39">
        <f t="shared" si="160"/>
        <v>300000</v>
      </c>
      <c r="V259" s="64"/>
      <c r="W259" s="64"/>
      <c r="X259" s="41">
        <f t="shared" si="157"/>
        <v>0</v>
      </c>
      <c r="Y259" s="64"/>
      <c r="Z259" s="41">
        <f t="shared" si="158"/>
        <v>0</v>
      </c>
      <c r="AA259" s="42">
        <f t="shared" si="159"/>
        <v>-300000</v>
      </c>
      <c r="AB259" s="258"/>
      <c r="AC259" s="258"/>
    </row>
    <row r="260" spans="1:30" ht="19.5" customHeight="1" thickBot="1" x14ac:dyDescent="0.3">
      <c r="F260" s="92" t="s">
        <v>184</v>
      </c>
      <c r="G260" s="44">
        <v>2240</v>
      </c>
      <c r="H260" s="68">
        <f t="shared" si="156"/>
        <v>100000</v>
      </c>
      <c r="I260" s="94"/>
      <c r="J260" s="61">
        <v>100000</v>
      </c>
      <c r="K260" s="48"/>
      <c r="L260" s="48"/>
      <c r="M260" s="48"/>
      <c r="N260" s="48"/>
      <c r="O260" s="48"/>
      <c r="P260" s="48"/>
      <c r="Q260" s="48"/>
      <c r="R260" s="48"/>
      <c r="S260" s="48"/>
      <c r="T260" s="231"/>
      <c r="U260" s="39">
        <f t="shared" si="160"/>
        <v>100000</v>
      </c>
      <c r="V260" s="64"/>
      <c r="W260" s="64"/>
      <c r="X260" s="41">
        <f t="shared" si="157"/>
        <v>0</v>
      </c>
      <c r="Y260" s="64"/>
      <c r="Z260" s="41">
        <f t="shared" si="158"/>
        <v>0</v>
      </c>
      <c r="AA260" s="42">
        <f t="shared" si="159"/>
        <v>-100000</v>
      </c>
      <c r="AB260" s="258"/>
      <c r="AC260" s="258"/>
    </row>
    <row r="261" spans="1:30" ht="16.5" thickBot="1" x14ac:dyDescent="0.3">
      <c r="F261" s="92" t="s">
        <v>185</v>
      </c>
      <c r="G261" s="44">
        <v>2240</v>
      </c>
      <c r="H261" s="68">
        <f t="shared" si="156"/>
        <v>200000</v>
      </c>
      <c r="I261" s="94"/>
      <c r="J261" s="48"/>
      <c r="K261" s="48"/>
      <c r="L261" s="48"/>
      <c r="M261" s="48"/>
      <c r="N261" s="48"/>
      <c r="O261" s="48"/>
      <c r="P261" s="48"/>
      <c r="Q261" s="48"/>
      <c r="R261" s="61">
        <v>67000</v>
      </c>
      <c r="S261" s="61">
        <v>66500</v>
      </c>
      <c r="T261" s="147">
        <v>66500</v>
      </c>
      <c r="U261" s="39">
        <f>I261+J261+K261+L261+M261+N261+O261</f>
        <v>0</v>
      </c>
      <c r="V261" s="64"/>
      <c r="W261" s="64"/>
      <c r="X261" s="41">
        <f t="shared" si="157"/>
        <v>0</v>
      </c>
      <c r="Y261" s="64"/>
      <c r="Z261" s="41">
        <f t="shared" si="158"/>
        <v>0</v>
      </c>
      <c r="AA261" s="42">
        <f t="shared" si="159"/>
        <v>0</v>
      </c>
      <c r="AB261" s="258"/>
      <c r="AC261" s="258"/>
    </row>
    <row r="262" spans="1:30" ht="26.25" thickBot="1" x14ac:dyDescent="0.3">
      <c r="F262" s="92" t="s">
        <v>186</v>
      </c>
      <c r="G262" s="44">
        <v>3132</v>
      </c>
      <c r="H262" s="68">
        <f t="shared" si="156"/>
        <v>300000</v>
      </c>
      <c r="I262" s="94"/>
      <c r="J262" s="48"/>
      <c r="K262" s="61">
        <v>100000</v>
      </c>
      <c r="L262" s="48"/>
      <c r="M262" s="48"/>
      <c r="N262" s="48"/>
      <c r="O262" s="48"/>
      <c r="P262" s="61">
        <v>100000</v>
      </c>
      <c r="Q262" s="61">
        <v>100000</v>
      </c>
      <c r="R262" s="48"/>
      <c r="S262" s="48"/>
      <c r="T262" s="231"/>
      <c r="U262" s="39">
        <f t="shared" si="160"/>
        <v>100000</v>
      </c>
      <c r="V262" s="64"/>
      <c r="W262" s="64"/>
      <c r="X262" s="41">
        <f t="shared" si="157"/>
        <v>0</v>
      </c>
      <c r="Y262" s="64"/>
      <c r="Z262" s="41">
        <f t="shared" si="158"/>
        <v>0</v>
      </c>
      <c r="AA262" s="42">
        <f t="shared" si="159"/>
        <v>-100000</v>
      </c>
      <c r="AB262" s="258"/>
      <c r="AC262" s="258"/>
    </row>
    <row r="263" spans="1:30" ht="64.5" thickBot="1" x14ac:dyDescent="0.3">
      <c r="F263" s="92" t="s">
        <v>282</v>
      </c>
      <c r="G263" s="44">
        <v>3132</v>
      </c>
      <c r="H263" s="68">
        <f t="shared" si="156"/>
        <v>136446.70000000001</v>
      </c>
      <c r="I263" s="94"/>
      <c r="J263" s="48"/>
      <c r="K263" s="61">
        <v>136446.70000000001</v>
      </c>
      <c r="L263" s="48"/>
      <c r="M263" s="48"/>
      <c r="N263" s="48"/>
      <c r="O263" s="48"/>
      <c r="P263" s="48"/>
      <c r="Q263" s="48"/>
      <c r="R263" s="48"/>
      <c r="S263" s="48"/>
      <c r="T263" s="231"/>
      <c r="U263" s="39">
        <f t="shared" si="160"/>
        <v>136446.70000000001</v>
      </c>
      <c r="X263" s="41">
        <f t="shared" si="157"/>
        <v>0</v>
      </c>
      <c r="Z263" s="41">
        <f t="shared" si="158"/>
        <v>0</v>
      </c>
      <c r="AA263" s="42">
        <f t="shared" si="159"/>
        <v>-136446.70000000001</v>
      </c>
      <c r="AB263" s="258"/>
      <c r="AC263" s="258"/>
    </row>
    <row r="264" spans="1:30" ht="16.5" thickBot="1" x14ac:dyDescent="0.3">
      <c r="F264" s="95" t="s">
        <v>187</v>
      </c>
      <c r="H264" s="90">
        <f>SUM(H256:H261)</f>
        <v>800000</v>
      </c>
      <c r="I264" s="90">
        <f t="shared" ref="I264:AA264" si="161">SUM(I256:I261)</f>
        <v>80000</v>
      </c>
      <c r="J264" s="90">
        <f t="shared" si="161"/>
        <v>100000</v>
      </c>
      <c r="K264" s="90">
        <f t="shared" si="161"/>
        <v>0</v>
      </c>
      <c r="L264" s="90">
        <f t="shared" si="161"/>
        <v>100000</v>
      </c>
      <c r="M264" s="90">
        <f t="shared" si="161"/>
        <v>100000</v>
      </c>
      <c r="N264" s="90">
        <f t="shared" si="161"/>
        <v>100000</v>
      </c>
      <c r="O264" s="90">
        <f t="shared" si="161"/>
        <v>100000</v>
      </c>
      <c r="P264" s="90">
        <f t="shared" si="161"/>
        <v>0</v>
      </c>
      <c r="Q264" s="90">
        <f t="shared" si="161"/>
        <v>0</v>
      </c>
      <c r="R264" s="90">
        <f t="shared" si="161"/>
        <v>77000</v>
      </c>
      <c r="S264" s="90">
        <f t="shared" si="161"/>
        <v>76500</v>
      </c>
      <c r="T264" s="245">
        <f t="shared" si="161"/>
        <v>66500</v>
      </c>
      <c r="U264" s="90">
        <f t="shared" si="161"/>
        <v>580000</v>
      </c>
      <c r="V264" s="90">
        <f t="shared" si="161"/>
        <v>0</v>
      </c>
      <c r="W264" s="90">
        <f t="shared" si="161"/>
        <v>0</v>
      </c>
      <c r="X264" s="90">
        <f t="shared" si="161"/>
        <v>0</v>
      </c>
      <c r="Y264" s="90">
        <f t="shared" si="161"/>
        <v>3200</v>
      </c>
      <c r="Z264" s="90">
        <f t="shared" si="161"/>
        <v>3200</v>
      </c>
      <c r="AA264" s="90">
        <f t="shared" si="161"/>
        <v>-576800</v>
      </c>
      <c r="AB264" s="271"/>
      <c r="AC264" s="271"/>
    </row>
    <row r="265" spans="1:30" ht="16.5" thickBot="1" x14ac:dyDescent="0.3">
      <c r="F265" s="95" t="s">
        <v>188</v>
      </c>
      <c r="H265" s="90">
        <f>H262+H263</f>
        <v>436446.7</v>
      </c>
      <c r="I265" s="90">
        <f t="shared" ref="I265:AA265" si="162">I262+I263</f>
        <v>0</v>
      </c>
      <c r="J265" s="90">
        <f t="shared" si="162"/>
        <v>0</v>
      </c>
      <c r="K265" s="90">
        <f t="shared" si="162"/>
        <v>236446.7</v>
      </c>
      <c r="L265" s="90">
        <f t="shared" si="162"/>
        <v>0</v>
      </c>
      <c r="M265" s="90">
        <f t="shared" si="162"/>
        <v>0</v>
      </c>
      <c r="N265" s="90">
        <f t="shared" si="162"/>
        <v>0</v>
      </c>
      <c r="O265" s="90">
        <f t="shared" si="162"/>
        <v>0</v>
      </c>
      <c r="P265" s="90">
        <f t="shared" si="162"/>
        <v>100000</v>
      </c>
      <c r="Q265" s="90">
        <f t="shared" si="162"/>
        <v>100000</v>
      </c>
      <c r="R265" s="90">
        <f t="shared" si="162"/>
        <v>0</v>
      </c>
      <c r="S265" s="90">
        <f t="shared" si="162"/>
        <v>0</v>
      </c>
      <c r="T265" s="245">
        <f t="shared" si="162"/>
        <v>0</v>
      </c>
      <c r="U265" s="90">
        <f t="shared" si="162"/>
        <v>236446.7</v>
      </c>
      <c r="V265" s="90">
        <f t="shared" si="162"/>
        <v>0</v>
      </c>
      <c r="W265" s="90">
        <f t="shared" si="162"/>
        <v>0</v>
      </c>
      <c r="X265" s="90">
        <f t="shared" si="162"/>
        <v>0</v>
      </c>
      <c r="Y265" s="90">
        <f t="shared" si="162"/>
        <v>0</v>
      </c>
      <c r="Z265" s="90">
        <f t="shared" si="162"/>
        <v>0</v>
      </c>
      <c r="AA265" s="90">
        <f t="shared" si="162"/>
        <v>-236446.7</v>
      </c>
      <c r="AB265" s="271"/>
      <c r="AC265" s="271"/>
    </row>
    <row r="266" spans="1:30" ht="15.75" thickBot="1" x14ac:dyDescent="0.3">
      <c r="F266" s="79" t="s">
        <v>190</v>
      </c>
      <c r="G266" s="79"/>
      <c r="H266" s="89">
        <f>H265+H264</f>
        <v>1236446.7</v>
      </c>
      <c r="I266" s="89">
        <f t="shared" ref="I266:AA266" si="163">I265+I264</f>
        <v>80000</v>
      </c>
      <c r="J266" s="89">
        <f t="shared" si="163"/>
        <v>100000</v>
      </c>
      <c r="K266" s="89">
        <f t="shared" si="163"/>
        <v>236446.7</v>
      </c>
      <c r="L266" s="89">
        <f t="shared" si="163"/>
        <v>100000</v>
      </c>
      <c r="M266" s="89">
        <f t="shared" si="163"/>
        <v>100000</v>
      </c>
      <c r="N266" s="89">
        <f t="shared" si="163"/>
        <v>100000</v>
      </c>
      <c r="O266" s="89">
        <f t="shared" si="163"/>
        <v>100000</v>
      </c>
      <c r="P266" s="89">
        <f t="shared" si="163"/>
        <v>100000</v>
      </c>
      <c r="Q266" s="89">
        <f t="shared" si="163"/>
        <v>100000</v>
      </c>
      <c r="R266" s="89">
        <f t="shared" si="163"/>
        <v>77000</v>
      </c>
      <c r="S266" s="89">
        <f t="shared" si="163"/>
        <v>76500</v>
      </c>
      <c r="T266" s="243">
        <f t="shared" si="163"/>
        <v>66500</v>
      </c>
      <c r="U266" s="89">
        <f t="shared" si="163"/>
        <v>816446.7</v>
      </c>
      <c r="V266" s="89">
        <f t="shared" si="163"/>
        <v>0</v>
      </c>
      <c r="W266" s="89">
        <f t="shared" si="163"/>
        <v>0</v>
      </c>
      <c r="X266" s="89">
        <f t="shared" si="163"/>
        <v>0</v>
      </c>
      <c r="Y266" s="89">
        <f t="shared" si="163"/>
        <v>3200</v>
      </c>
      <c r="Z266" s="89">
        <f t="shared" si="163"/>
        <v>3200</v>
      </c>
      <c r="AA266" s="89">
        <f t="shared" si="163"/>
        <v>-813246.7</v>
      </c>
      <c r="AB266" s="266"/>
      <c r="AC266" s="266"/>
    </row>
    <row r="267" spans="1:30" ht="16.5" customHeight="1" thickBot="1" x14ac:dyDescent="0.3">
      <c r="F267" s="473" t="s">
        <v>283</v>
      </c>
      <c r="G267" s="474"/>
      <c r="H267" s="57">
        <f>H263</f>
        <v>136446.70000000001</v>
      </c>
      <c r="I267" s="57">
        <f t="shared" ref="I267:AA267" si="164">I263</f>
        <v>0</v>
      </c>
      <c r="J267" s="57">
        <f t="shared" si="164"/>
        <v>0</v>
      </c>
      <c r="K267" s="57">
        <f t="shared" si="164"/>
        <v>136446.70000000001</v>
      </c>
      <c r="L267" s="57">
        <f t="shared" si="164"/>
        <v>0</v>
      </c>
      <c r="M267" s="57">
        <f t="shared" si="164"/>
        <v>0</v>
      </c>
      <c r="N267" s="57">
        <f t="shared" si="164"/>
        <v>0</v>
      </c>
      <c r="O267" s="57">
        <f t="shared" si="164"/>
        <v>0</v>
      </c>
      <c r="P267" s="57">
        <f t="shared" si="164"/>
        <v>0</v>
      </c>
      <c r="Q267" s="57">
        <f t="shared" si="164"/>
        <v>0</v>
      </c>
      <c r="R267" s="57">
        <f t="shared" si="164"/>
        <v>0</v>
      </c>
      <c r="S267" s="57">
        <f t="shared" si="164"/>
        <v>0</v>
      </c>
      <c r="T267" s="165">
        <f t="shared" si="164"/>
        <v>0</v>
      </c>
      <c r="U267" s="39">
        <f>I267+J267+K267+L267+M267</f>
        <v>136446.70000000001</v>
      </c>
      <c r="V267" s="57">
        <f t="shared" si="164"/>
        <v>0</v>
      </c>
      <c r="W267" s="57">
        <f t="shared" si="164"/>
        <v>0</v>
      </c>
      <c r="X267" s="57">
        <f t="shared" si="164"/>
        <v>0</v>
      </c>
      <c r="Y267" s="57">
        <f t="shared" si="164"/>
        <v>0</v>
      </c>
      <c r="Z267" s="57">
        <f t="shared" si="164"/>
        <v>0</v>
      </c>
      <c r="AA267" s="57">
        <f t="shared" si="164"/>
        <v>-136446.70000000001</v>
      </c>
      <c r="AB267" s="272"/>
      <c r="AC267" s="272"/>
    </row>
    <row r="268" spans="1:30" ht="35.25" thickTop="1" thickBot="1" x14ac:dyDescent="0.3">
      <c r="A268" s="3" t="s">
        <v>0</v>
      </c>
      <c r="B268" s="3" t="s">
        <v>1</v>
      </c>
      <c r="C268" s="3"/>
      <c r="D268" s="4" t="s">
        <v>3</v>
      </c>
      <c r="E268" s="83">
        <v>3117670</v>
      </c>
      <c r="F268" s="445" t="s">
        <v>193</v>
      </c>
      <c r="G268" s="446"/>
      <c r="H268" s="7" t="s">
        <v>155</v>
      </c>
      <c r="I268" s="8" t="s">
        <v>7</v>
      </c>
      <c r="J268" s="9" t="s">
        <v>8</v>
      </c>
      <c r="K268" s="9" t="s">
        <v>9</v>
      </c>
      <c r="L268" s="8" t="s">
        <v>10</v>
      </c>
      <c r="M268" s="8" t="s">
        <v>11</v>
      </c>
      <c r="N268" s="10" t="s">
        <v>12</v>
      </c>
      <c r="O268" s="11" t="s">
        <v>13</v>
      </c>
      <c r="P268" s="12" t="s">
        <v>14</v>
      </c>
      <c r="Q268" s="12" t="s">
        <v>15</v>
      </c>
      <c r="R268" s="13" t="s">
        <v>16</v>
      </c>
      <c r="S268" s="8" t="s">
        <v>17</v>
      </c>
      <c r="T268" s="221" t="s">
        <v>18</v>
      </c>
      <c r="U268" s="7" t="s">
        <v>426</v>
      </c>
      <c r="V268" s="7" t="s">
        <v>19</v>
      </c>
      <c r="W268" s="7" t="s">
        <v>20</v>
      </c>
      <c r="X268" s="7" t="s">
        <v>21</v>
      </c>
      <c r="Y268" s="5" t="s">
        <v>22</v>
      </c>
      <c r="Z268" s="14" t="s">
        <v>23</v>
      </c>
      <c r="AA268" s="14" t="s">
        <v>24</v>
      </c>
      <c r="AB268" s="255"/>
      <c r="AC268" s="255"/>
    </row>
    <row r="269" spans="1:30" ht="27" thickTop="1" thickBot="1" x14ac:dyDescent="0.3">
      <c r="F269" s="297" t="s">
        <v>373</v>
      </c>
      <c r="G269" s="298"/>
      <c r="H269" s="197">
        <f t="shared" ref="H269:H288" si="165">SUM(I269:T269)</f>
        <v>1785205</v>
      </c>
      <c r="I269" s="201">
        <f>1785204.38+0.62</f>
        <v>1785205</v>
      </c>
      <c r="J269" s="201"/>
      <c r="K269" s="201"/>
      <c r="L269" s="201"/>
      <c r="M269" s="201"/>
      <c r="N269" s="201"/>
      <c r="O269" s="201"/>
      <c r="P269" s="201"/>
      <c r="Q269" s="201"/>
      <c r="R269" s="201"/>
      <c r="S269" s="201"/>
      <c r="T269" s="201"/>
      <c r="U269" s="39">
        <f>I269+J269+K269+L269+M269+N269+O269</f>
        <v>1785205</v>
      </c>
      <c r="V269" s="125">
        <f>1785204.38</f>
        <v>1785204.38</v>
      </c>
      <c r="W269" s="125">
        <f>1785204.38</f>
        <v>1785204.38</v>
      </c>
      <c r="X269" s="41">
        <f t="shared" ref="X269:X274" si="166">W269-V269</f>
        <v>0</v>
      </c>
      <c r="Y269" s="125">
        <f>1785204.38</f>
        <v>1785204.38</v>
      </c>
      <c r="Z269" s="41">
        <f t="shared" ref="Z269:Z274" si="167">Y269-V269</f>
        <v>0</v>
      </c>
      <c r="AA269" s="177">
        <f t="shared" ref="AA269:AA274" si="168">Y269-U269</f>
        <v>-0.62000000011175871</v>
      </c>
      <c r="AB269" s="264"/>
      <c r="AC269" s="264"/>
    </row>
    <row r="270" spans="1:30" ht="26.25" thickBot="1" x14ac:dyDescent="0.3">
      <c r="F270" s="299" t="s">
        <v>194</v>
      </c>
      <c r="G270" s="198">
        <v>3210</v>
      </c>
      <c r="H270" s="197">
        <f t="shared" si="165"/>
        <v>4700000</v>
      </c>
      <c r="I270" s="201">
        <f>478000-400000</f>
        <v>78000</v>
      </c>
      <c r="J270" s="201">
        <v>78000</v>
      </c>
      <c r="K270" s="201">
        <v>78000</v>
      </c>
      <c r="L270" s="201">
        <f t="shared" ref="L270:M270" si="169">800000-800000</f>
        <v>0</v>
      </c>
      <c r="M270" s="201">
        <f t="shared" si="169"/>
        <v>0</v>
      </c>
      <c r="N270" s="201">
        <f>800000-800000</f>
        <v>0</v>
      </c>
      <c r="O270" s="201">
        <v>800000</v>
      </c>
      <c r="P270" s="201">
        <v>554000</v>
      </c>
      <c r="Q270" s="201">
        <f>78000+800000</f>
        <v>878000</v>
      </c>
      <c r="R270" s="201">
        <f>78000+1000000</f>
        <v>1078000</v>
      </c>
      <c r="S270" s="201">
        <f>78000+1000000</f>
        <v>1078000</v>
      </c>
      <c r="T270" s="201">
        <v>78000</v>
      </c>
      <c r="U270" s="39">
        <f t="shared" ref="U270:U274" si="170">I270+J270+K270+L270+M270+N270+O270</f>
        <v>1034000</v>
      </c>
      <c r="V270" s="125">
        <f>77111.11+77111.11</f>
        <v>154222.22</v>
      </c>
      <c r="W270" s="125">
        <f>77111.11</f>
        <v>77111.11</v>
      </c>
      <c r="X270" s="41">
        <f t="shared" si="166"/>
        <v>-77111.11</v>
      </c>
      <c r="Y270" s="125">
        <f>77111.11+77111.11*2</f>
        <v>231333.33000000002</v>
      </c>
      <c r="Z270" s="41">
        <f t="shared" si="167"/>
        <v>77111.110000000015</v>
      </c>
      <c r="AA270" s="177">
        <f>Y270-U270</f>
        <v>-802666.66999999993</v>
      </c>
      <c r="AB270" s="264"/>
      <c r="AC270" s="264"/>
      <c r="AD270">
        <f>O270*3</f>
        <v>2400000</v>
      </c>
    </row>
    <row r="271" spans="1:30" ht="39" thickBot="1" x14ac:dyDescent="0.3">
      <c r="F271" s="299" t="s">
        <v>195</v>
      </c>
      <c r="G271" s="198">
        <v>3210</v>
      </c>
      <c r="H271" s="197">
        <f t="shared" si="165"/>
        <v>800000</v>
      </c>
      <c r="I271" s="201"/>
      <c r="J271" s="201"/>
      <c r="K271" s="201"/>
      <c r="L271" s="201"/>
      <c r="M271" s="201"/>
      <c r="N271" s="201"/>
      <c r="O271" s="201"/>
      <c r="P271" s="201">
        <f>500000</f>
        <v>500000</v>
      </c>
      <c r="Q271" s="201">
        <v>300000</v>
      </c>
      <c r="R271" s="201"/>
      <c r="S271" s="201"/>
      <c r="T271" s="201"/>
      <c r="U271" s="39">
        <f t="shared" si="170"/>
        <v>0</v>
      </c>
      <c r="V271" s="125"/>
      <c r="W271" s="125"/>
      <c r="X271" s="41">
        <f t="shared" si="166"/>
        <v>0</v>
      </c>
      <c r="Y271" s="125"/>
      <c r="Z271" s="41">
        <f t="shared" si="167"/>
        <v>0</v>
      </c>
      <c r="AA271" s="177">
        <f t="shared" si="168"/>
        <v>0</v>
      </c>
      <c r="AB271" s="264"/>
      <c r="AC271" s="264"/>
      <c r="AD271" s="103"/>
    </row>
    <row r="272" spans="1:30" ht="26.25" thickBot="1" x14ac:dyDescent="0.3">
      <c r="F272" s="299" t="s">
        <v>196</v>
      </c>
      <c r="G272" s="198">
        <v>3210</v>
      </c>
      <c r="H272" s="197">
        <f t="shared" si="165"/>
        <v>750000</v>
      </c>
      <c r="I272" s="201"/>
      <c r="J272" s="201"/>
      <c r="K272" s="201"/>
      <c r="L272" s="201"/>
      <c r="M272" s="201"/>
      <c r="N272" s="201"/>
      <c r="O272" s="201"/>
      <c r="P272" s="201">
        <v>130000</v>
      </c>
      <c r="Q272" s="201">
        <v>620000</v>
      </c>
      <c r="R272" s="201"/>
      <c r="S272" s="201"/>
      <c r="T272" s="201"/>
      <c r="U272" s="39">
        <f t="shared" si="170"/>
        <v>0</v>
      </c>
      <c r="V272" s="125"/>
      <c r="W272" s="125"/>
      <c r="X272" s="41">
        <f t="shared" si="166"/>
        <v>0</v>
      </c>
      <c r="Y272" s="125"/>
      <c r="Z272" s="41">
        <f t="shared" si="167"/>
        <v>0</v>
      </c>
      <c r="AA272" s="177">
        <f t="shared" si="168"/>
        <v>0</v>
      </c>
      <c r="AB272" s="264"/>
      <c r="AC272" s="264"/>
    </row>
    <row r="273" spans="1:29" ht="51.75" thickBot="1" x14ac:dyDescent="0.3">
      <c r="A273" t="s">
        <v>387</v>
      </c>
      <c r="B273" s="120">
        <v>44701</v>
      </c>
      <c r="D273" t="s">
        <v>390</v>
      </c>
      <c r="F273" s="97" t="s">
        <v>382</v>
      </c>
      <c r="G273" s="98">
        <v>3210</v>
      </c>
      <c r="H273" s="68">
        <f t="shared" si="165"/>
        <v>11314795</v>
      </c>
      <c r="I273" s="202">
        <f>214795+400000</f>
        <v>614795</v>
      </c>
      <c r="J273" s="200">
        <v>800000</v>
      </c>
      <c r="K273" s="200">
        <f>1000000+200000</f>
        <v>1200000</v>
      </c>
      <c r="L273" s="200">
        <f>1000000+800000</f>
        <v>1800000</v>
      </c>
      <c r="M273" s="200">
        <f>1000000+800000</f>
        <v>1800000</v>
      </c>
      <c r="N273" s="200">
        <f>1400000+800000</f>
        <v>2200000</v>
      </c>
      <c r="O273" s="200">
        <v>1500000</v>
      </c>
      <c r="P273" s="200">
        <v>1000000</v>
      </c>
      <c r="Q273" s="200">
        <f>1000000+200000-200000-800000</f>
        <v>200000</v>
      </c>
      <c r="R273" s="200"/>
      <c r="S273" s="200">
        <v>200000</v>
      </c>
      <c r="T273" s="202"/>
      <c r="U273" s="39">
        <f t="shared" si="170"/>
        <v>9914795</v>
      </c>
      <c r="V273" s="125">
        <f>3000000</f>
        <v>3000000</v>
      </c>
      <c r="W273" s="125">
        <f>3000000</f>
        <v>3000000</v>
      </c>
      <c r="X273" s="41">
        <f t="shared" si="166"/>
        <v>0</v>
      </c>
      <c r="Y273" s="125">
        <f>3000000</f>
        <v>3000000</v>
      </c>
      <c r="Z273" s="41">
        <f t="shared" si="167"/>
        <v>0</v>
      </c>
      <c r="AA273" s="42">
        <f t="shared" si="168"/>
        <v>-6914795</v>
      </c>
      <c r="AB273" s="258"/>
      <c r="AC273" s="258">
        <v>8314795</v>
      </c>
    </row>
    <row r="274" spans="1:29" ht="51.75" thickBot="1" x14ac:dyDescent="0.3">
      <c r="A274" t="s">
        <v>388</v>
      </c>
      <c r="B274" s="120">
        <v>44699</v>
      </c>
      <c r="D274" t="s">
        <v>389</v>
      </c>
      <c r="F274" s="97" t="s">
        <v>383</v>
      </c>
      <c r="G274" s="98">
        <v>3210</v>
      </c>
      <c r="H274" s="68">
        <f t="shared" si="165"/>
        <v>55000000</v>
      </c>
      <c r="I274" s="200">
        <f>500000+218000</f>
        <v>718000</v>
      </c>
      <c r="J274" s="200">
        <f>1000000+500000</f>
        <v>1500000</v>
      </c>
      <c r="K274" s="200">
        <f>1000000+1068000</f>
        <v>2068000</v>
      </c>
      <c r="L274" s="200">
        <f>2500000+835000</f>
        <v>3335000</v>
      </c>
      <c r="M274" s="200">
        <v>2250000</v>
      </c>
      <c r="N274" s="200">
        <f>2000000+6384500</f>
        <v>8384500</v>
      </c>
      <c r="O274" s="202">
        <f>2000000+3293613</f>
        <v>5293613</v>
      </c>
      <c r="P274" s="200">
        <f>2000000+2900000</f>
        <v>4900000</v>
      </c>
      <c r="Q274" s="200">
        <f>1000000+2000000+4312387</f>
        <v>7312387</v>
      </c>
      <c r="R274" s="200">
        <f>3000000+2733500</f>
        <v>5733500</v>
      </c>
      <c r="S274" s="200">
        <v>7230000</v>
      </c>
      <c r="T274" s="200">
        <v>6275000</v>
      </c>
      <c r="U274" s="39">
        <f t="shared" si="170"/>
        <v>23549113</v>
      </c>
      <c r="V274" s="125">
        <f>18255500</f>
        <v>18255500</v>
      </c>
      <c r="W274" s="125">
        <f>18255500</f>
        <v>18255500</v>
      </c>
      <c r="X274" s="41">
        <f t="shared" si="166"/>
        <v>0</v>
      </c>
      <c r="Y274" s="125">
        <f>18255500</f>
        <v>18255500</v>
      </c>
      <c r="Z274" s="41">
        <f t="shared" si="167"/>
        <v>0</v>
      </c>
      <c r="AA274" s="42">
        <f t="shared" si="168"/>
        <v>-5293613</v>
      </c>
      <c r="AB274" s="258"/>
      <c r="AC274" s="258">
        <f>AC273+AA273</f>
        <v>1400000</v>
      </c>
    </row>
    <row r="275" spans="1:29" ht="15.75" thickBot="1" x14ac:dyDescent="0.3">
      <c r="F275" s="195" t="s">
        <v>374</v>
      </c>
      <c r="G275" s="196"/>
      <c r="H275" s="136">
        <f>H274+H273</f>
        <v>66314795</v>
      </c>
      <c r="I275" s="136">
        <f t="shared" ref="I275:Z275" si="171">I274+I273</f>
        <v>1332795</v>
      </c>
      <c r="J275" s="136">
        <f t="shared" si="171"/>
        <v>2300000</v>
      </c>
      <c r="K275" s="136">
        <f t="shared" si="171"/>
        <v>3268000</v>
      </c>
      <c r="L275" s="136">
        <f t="shared" si="171"/>
        <v>5135000</v>
      </c>
      <c r="M275" s="136">
        <f t="shared" si="171"/>
        <v>4050000</v>
      </c>
      <c r="N275" s="136">
        <f t="shared" si="171"/>
        <v>10584500</v>
      </c>
      <c r="O275" s="136">
        <f t="shared" si="171"/>
        <v>6793613</v>
      </c>
      <c r="P275" s="136">
        <f t="shared" si="171"/>
        <v>5900000</v>
      </c>
      <c r="Q275" s="136">
        <f t="shared" si="171"/>
        <v>7512387</v>
      </c>
      <c r="R275" s="136">
        <f t="shared" si="171"/>
        <v>5733500</v>
      </c>
      <c r="S275" s="136">
        <f t="shared" si="171"/>
        <v>7430000</v>
      </c>
      <c r="T275" s="165">
        <f t="shared" si="171"/>
        <v>6275000</v>
      </c>
      <c r="U275" s="136">
        <f t="shared" si="171"/>
        <v>33463908</v>
      </c>
      <c r="V275" s="136">
        <f t="shared" si="171"/>
        <v>21255500</v>
      </c>
      <c r="W275" s="136">
        <f t="shared" si="171"/>
        <v>21255500</v>
      </c>
      <c r="X275" s="136">
        <f t="shared" si="171"/>
        <v>0</v>
      </c>
      <c r="Y275" s="136">
        <f t="shared" si="171"/>
        <v>21255500</v>
      </c>
      <c r="Z275" s="136">
        <f t="shared" si="171"/>
        <v>0</v>
      </c>
      <c r="AA275" s="136">
        <f>AA274+AA273</f>
        <v>-12208408</v>
      </c>
      <c r="AB275" s="269"/>
      <c r="AC275" s="269"/>
    </row>
    <row r="276" spans="1:29" ht="26.25" thickBot="1" x14ac:dyDescent="0.3">
      <c r="F276" s="195" t="s">
        <v>375</v>
      </c>
      <c r="G276" s="196"/>
      <c r="H276" s="136">
        <f>H269+H270+H271+H272</f>
        <v>8035205</v>
      </c>
      <c r="I276" s="136">
        <f t="shared" ref="I276:AA276" si="172">I269+I270+I271+I272</f>
        <v>1863205</v>
      </c>
      <c r="J276" s="136">
        <f t="shared" si="172"/>
        <v>78000</v>
      </c>
      <c r="K276" s="136">
        <f t="shared" si="172"/>
        <v>78000</v>
      </c>
      <c r="L276" s="136">
        <f t="shared" si="172"/>
        <v>0</v>
      </c>
      <c r="M276" s="136">
        <f t="shared" si="172"/>
        <v>0</v>
      </c>
      <c r="N276" s="136">
        <f t="shared" si="172"/>
        <v>0</v>
      </c>
      <c r="O276" s="136">
        <f t="shared" si="172"/>
        <v>800000</v>
      </c>
      <c r="P276" s="136">
        <f t="shared" si="172"/>
        <v>1184000</v>
      </c>
      <c r="Q276" s="136">
        <f t="shared" si="172"/>
        <v>1798000</v>
      </c>
      <c r="R276" s="136">
        <f t="shared" si="172"/>
        <v>1078000</v>
      </c>
      <c r="S276" s="136">
        <f t="shared" si="172"/>
        <v>1078000</v>
      </c>
      <c r="T276" s="165">
        <f t="shared" si="172"/>
        <v>78000</v>
      </c>
      <c r="U276" s="136">
        <f t="shared" si="172"/>
        <v>2819205</v>
      </c>
      <c r="V276" s="136">
        <f t="shared" si="172"/>
        <v>1939426.5999999999</v>
      </c>
      <c r="W276" s="136">
        <f t="shared" si="172"/>
        <v>1862315.49</v>
      </c>
      <c r="X276" s="136">
        <f t="shared" si="172"/>
        <v>-77111.11</v>
      </c>
      <c r="Y276" s="136">
        <f t="shared" si="172"/>
        <v>2016537.71</v>
      </c>
      <c r="Z276" s="136">
        <f t="shared" si="172"/>
        <v>77111.110000000015</v>
      </c>
      <c r="AA276" s="136">
        <f t="shared" si="172"/>
        <v>-802667.29</v>
      </c>
      <c r="AB276" s="269"/>
      <c r="AC276" s="269"/>
    </row>
    <row r="277" spans="1:29" ht="15.75" thickBot="1" x14ac:dyDescent="0.3">
      <c r="F277" s="79" t="s">
        <v>250</v>
      </c>
      <c r="H277" s="89">
        <f>H276+H275</f>
        <v>74350000</v>
      </c>
      <c r="I277" s="89">
        <f t="shared" ref="I277:AA277" si="173">I276+I275</f>
        <v>3196000</v>
      </c>
      <c r="J277" s="89">
        <f t="shared" si="173"/>
        <v>2378000</v>
      </c>
      <c r="K277" s="89">
        <f t="shared" si="173"/>
        <v>3346000</v>
      </c>
      <c r="L277" s="89">
        <f t="shared" si="173"/>
        <v>5135000</v>
      </c>
      <c r="M277" s="89">
        <f t="shared" si="173"/>
        <v>4050000</v>
      </c>
      <c r="N277" s="89">
        <f t="shared" si="173"/>
        <v>10584500</v>
      </c>
      <c r="O277" s="89">
        <f t="shared" si="173"/>
        <v>7593613</v>
      </c>
      <c r="P277" s="89">
        <f t="shared" si="173"/>
        <v>7084000</v>
      </c>
      <c r="Q277" s="89">
        <f t="shared" si="173"/>
        <v>9310387</v>
      </c>
      <c r="R277" s="89">
        <f t="shared" si="173"/>
        <v>6811500</v>
      </c>
      <c r="S277" s="89">
        <f t="shared" si="173"/>
        <v>8508000</v>
      </c>
      <c r="T277" s="243">
        <f t="shared" si="173"/>
        <v>6353000</v>
      </c>
      <c r="U277" s="89">
        <f t="shared" si="173"/>
        <v>36283113</v>
      </c>
      <c r="V277" s="89">
        <f t="shared" si="173"/>
        <v>23194926.600000001</v>
      </c>
      <c r="W277" s="89">
        <f t="shared" si="173"/>
        <v>23117815.489999998</v>
      </c>
      <c r="X277" s="89">
        <f t="shared" si="173"/>
        <v>-77111.11</v>
      </c>
      <c r="Y277" s="89">
        <f t="shared" si="173"/>
        <v>23272037.710000001</v>
      </c>
      <c r="Z277" s="89">
        <f t="shared" si="173"/>
        <v>77111.110000000015</v>
      </c>
      <c r="AA277" s="89">
        <f t="shared" si="173"/>
        <v>-13011075.289999999</v>
      </c>
      <c r="AB277" s="266"/>
      <c r="AC277" s="266"/>
    </row>
    <row r="278" spans="1:29" ht="35.25" customHeight="1" thickTop="1" thickBot="1" x14ac:dyDescent="0.3">
      <c r="A278" s="3" t="s">
        <v>0</v>
      </c>
      <c r="B278" s="3" t="s">
        <v>1</v>
      </c>
      <c r="C278" s="3"/>
      <c r="D278" s="4" t="s">
        <v>3</v>
      </c>
      <c r="E278" s="83">
        <v>3118311</v>
      </c>
      <c r="F278" s="445" t="s">
        <v>179</v>
      </c>
      <c r="G278" s="446"/>
      <c r="H278" s="7" t="s">
        <v>155</v>
      </c>
      <c r="I278" s="8" t="s">
        <v>7</v>
      </c>
      <c r="J278" s="9" t="s">
        <v>8</v>
      </c>
      <c r="K278" s="9" t="s">
        <v>9</v>
      </c>
      <c r="L278" s="8" t="s">
        <v>10</v>
      </c>
      <c r="M278" s="8" t="s">
        <v>11</v>
      </c>
      <c r="N278" s="10" t="s">
        <v>12</v>
      </c>
      <c r="O278" s="11" t="s">
        <v>13</v>
      </c>
      <c r="P278" s="12" t="s">
        <v>14</v>
      </c>
      <c r="Q278" s="12" t="s">
        <v>15</v>
      </c>
      <c r="R278" s="13" t="s">
        <v>16</v>
      </c>
      <c r="S278" s="8" t="s">
        <v>17</v>
      </c>
      <c r="T278" s="221" t="s">
        <v>18</v>
      </c>
      <c r="U278" s="7" t="s">
        <v>426</v>
      </c>
      <c r="V278" s="7" t="s">
        <v>19</v>
      </c>
      <c r="W278" s="7" t="s">
        <v>20</v>
      </c>
      <c r="X278" s="7" t="s">
        <v>21</v>
      </c>
      <c r="Y278" s="5" t="s">
        <v>22</v>
      </c>
      <c r="Z278" s="14" t="s">
        <v>23</v>
      </c>
      <c r="AA278" s="14" t="s">
        <v>24</v>
      </c>
      <c r="AB278" s="255"/>
      <c r="AC278" s="255"/>
    </row>
    <row r="279" spans="1:29" ht="25.5" customHeight="1" thickTop="1" thickBot="1" x14ac:dyDescent="0.3">
      <c r="F279" s="471" t="s">
        <v>197</v>
      </c>
      <c r="G279" s="475"/>
      <c r="H279" s="68">
        <f t="shared" si="165"/>
        <v>0</v>
      </c>
      <c r="U279" s="39"/>
      <c r="V279" s="64"/>
      <c r="W279" s="64"/>
      <c r="X279" s="41"/>
      <c r="Y279" s="64"/>
      <c r="Z279" s="41"/>
      <c r="AA279" s="42">
        <f t="shared" ref="AA279:AA288" si="174">Y279-U279</f>
        <v>0</v>
      </c>
      <c r="AB279" s="258"/>
      <c r="AC279" s="258"/>
    </row>
    <row r="280" spans="1:29" ht="26.25" thickBot="1" x14ac:dyDescent="0.3">
      <c r="F280" s="45" t="s">
        <v>198</v>
      </c>
      <c r="G280" s="63">
        <v>2240</v>
      </c>
      <c r="H280" s="68">
        <f t="shared" si="165"/>
        <v>199000</v>
      </c>
      <c r="I280" s="61">
        <v>29500</v>
      </c>
      <c r="J280" s="61">
        <v>29500</v>
      </c>
      <c r="K280" s="61">
        <v>29500</v>
      </c>
      <c r="L280" s="61">
        <v>29500</v>
      </c>
      <c r="M280" s="61">
        <v>29000</v>
      </c>
      <c r="N280" s="61">
        <v>22500</v>
      </c>
      <c r="O280" s="48"/>
      <c r="P280" s="48"/>
      <c r="Q280" s="48"/>
      <c r="R280" s="48"/>
      <c r="S280" s="48"/>
      <c r="T280" s="147">
        <v>29500</v>
      </c>
      <c r="U280" s="39">
        <f>I280+J280+K280+L280+M280+N280</f>
        <v>169500</v>
      </c>
      <c r="V280" s="64"/>
      <c r="W280" s="64"/>
      <c r="X280" s="41">
        <f t="shared" ref="X280:X281" si="175">W280-V280</f>
        <v>0</v>
      </c>
      <c r="Y280" s="64"/>
      <c r="Z280" s="41">
        <f t="shared" ref="Z280:Z288" si="176">Y280-V280</f>
        <v>0</v>
      </c>
      <c r="AA280" s="42">
        <f t="shared" si="174"/>
        <v>-169500</v>
      </c>
      <c r="AB280" s="258"/>
      <c r="AC280" s="258"/>
    </row>
    <row r="281" spans="1:29" ht="26.25" thickBot="1" x14ac:dyDescent="0.3">
      <c r="F281" s="45" t="s">
        <v>199</v>
      </c>
      <c r="G281" s="63">
        <v>2240</v>
      </c>
      <c r="H281" s="68">
        <f t="shared" si="165"/>
        <v>167312.22</v>
      </c>
      <c r="I281" s="48"/>
      <c r="J281" s="48"/>
      <c r="K281" s="61">
        <v>12812.22</v>
      </c>
      <c r="L281" s="48"/>
      <c r="M281" s="48"/>
      <c r="N281" s="61">
        <v>7000</v>
      </c>
      <c r="O281" s="61">
        <v>29500</v>
      </c>
      <c r="P281" s="61">
        <v>29500</v>
      </c>
      <c r="Q281" s="61">
        <v>29500</v>
      </c>
      <c r="R281" s="61">
        <v>29500</v>
      </c>
      <c r="S281" s="61">
        <v>29500</v>
      </c>
      <c r="T281" s="231"/>
      <c r="U281" s="39">
        <f t="shared" ref="U281:U288" si="177">I281+J281+K281+L281+M281+N281</f>
        <v>19812.22</v>
      </c>
      <c r="V281" s="64"/>
      <c r="W281" s="64"/>
      <c r="X281" s="41">
        <f t="shared" si="175"/>
        <v>0</v>
      </c>
      <c r="Y281" s="64"/>
      <c r="Z281" s="41">
        <f t="shared" si="176"/>
        <v>0</v>
      </c>
      <c r="AA281" s="42">
        <f t="shared" si="174"/>
        <v>-19812.22</v>
      </c>
      <c r="AB281" s="258"/>
      <c r="AC281" s="258"/>
    </row>
    <row r="282" spans="1:29" ht="51.75" thickBot="1" x14ac:dyDescent="0.3">
      <c r="F282" s="45" t="s">
        <v>284</v>
      </c>
      <c r="G282" s="63">
        <v>3122</v>
      </c>
      <c r="H282" s="68">
        <f t="shared" si="165"/>
        <v>210000</v>
      </c>
      <c r="I282" s="48"/>
      <c r="J282" s="153">
        <v>210000</v>
      </c>
      <c r="K282" s="48"/>
      <c r="L282" s="48"/>
      <c r="M282" s="48"/>
      <c r="N282" s="48"/>
      <c r="O282" s="48"/>
      <c r="P282" s="48"/>
      <c r="Q282" s="48"/>
      <c r="R282" s="48"/>
      <c r="S282" s="48"/>
      <c r="T282" s="231"/>
      <c r="U282" s="39">
        <f t="shared" si="177"/>
        <v>210000</v>
      </c>
      <c r="V282" s="64"/>
      <c r="W282" s="64"/>
      <c r="X282" s="41"/>
      <c r="Y282" s="64"/>
      <c r="Z282" s="41">
        <f t="shared" si="176"/>
        <v>0</v>
      </c>
      <c r="AA282" s="42">
        <f t="shared" si="174"/>
        <v>-210000</v>
      </c>
      <c r="AB282" s="258"/>
      <c r="AC282" s="258"/>
    </row>
    <row r="283" spans="1:29" ht="39" thickBot="1" x14ac:dyDescent="0.3">
      <c r="A283" t="s">
        <v>255</v>
      </c>
      <c r="D283" t="s">
        <v>254</v>
      </c>
      <c r="F283" s="91" t="s">
        <v>285</v>
      </c>
      <c r="G283" s="63">
        <v>3122</v>
      </c>
      <c r="H283" s="68">
        <f t="shared" si="165"/>
        <v>921222</v>
      </c>
      <c r="I283" s="147">
        <v>267232</v>
      </c>
      <c r="J283" s="61">
        <v>525000</v>
      </c>
      <c r="K283" s="48"/>
      <c r="L283" s="48"/>
      <c r="M283" s="147">
        <v>128990</v>
      </c>
      <c r="N283" s="48"/>
      <c r="O283" s="48"/>
      <c r="P283" s="48"/>
      <c r="Q283" s="48"/>
      <c r="R283" s="48"/>
      <c r="S283" s="48"/>
      <c r="T283" s="231"/>
      <c r="U283" s="39">
        <f t="shared" si="177"/>
        <v>921222</v>
      </c>
      <c r="V283" s="64"/>
      <c r="W283" s="64"/>
      <c r="X283" s="41"/>
      <c r="Y283" s="125">
        <f>391188+5033.03</f>
        <v>396221.03</v>
      </c>
      <c r="Z283" s="41">
        <f t="shared" si="176"/>
        <v>396221.03</v>
      </c>
      <c r="AA283" s="42">
        <f t="shared" si="174"/>
        <v>-525000.97</v>
      </c>
      <c r="AB283" s="258"/>
      <c r="AC283" s="258"/>
    </row>
    <row r="284" spans="1:29" ht="26.25" thickBot="1" x14ac:dyDescent="0.3">
      <c r="F284" s="154" t="s">
        <v>286</v>
      </c>
      <c r="G284" s="155"/>
      <c r="H284" s="94"/>
      <c r="I284" s="156"/>
      <c r="J284" s="157">
        <v>85000</v>
      </c>
      <c r="K284" s="156"/>
      <c r="L284" s="156"/>
      <c r="M284" s="156"/>
      <c r="N284" s="156"/>
      <c r="O284" s="156"/>
      <c r="P284" s="156"/>
      <c r="Q284" s="156"/>
      <c r="R284" s="156"/>
      <c r="S284" s="156"/>
      <c r="T284" s="246"/>
      <c r="U284" s="39">
        <f t="shared" si="177"/>
        <v>85000</v>
      </c>
      <c r="V284" s="64"/>
      <c r="W284" s="64"/>
      <c r="X284" s="41"/>
      <c r="Y284" s="64"/>
      <c r="Z284" s="41">
        <f t="shared" si="176"/>
        <v>0</v>
      </c>
      <c r="AA284" s="42">
        <f t="shared" si="174"/>
        <v>-85000</v>
      </c>
      <c r="AB284" s="258"/>
      <c r="AC284" s="258"/>
    </row>
    <row r="285" spans="1:29" ht="39" thickBot="1" x14ac:dyDescent="0.3">
      <c r="F285" s="154" t="s">
        <v>287</v>
      </c>
      <c r="G285" s="155"/>
      <c r="H285" s="94"/>
      <c r="I285" s="156"/>
      <c r="J285" s="158">
        <v>440000</v>
      </c>
      <c r="K285" s="156"/>
      <c r="L285" s="156"/>
      <c r="M285" s="156"/>
      <c r="N285" s="156"/>
      <c r="O285" s="156"/>
      <c r="P285" s="156"/>
      <c r="Q285" s="156"/>
      <c r="R285" s="156"/>
      <c r="S285" s="156"/>
      <c r="T285" s="246"/>
      <c r="U285" s="39">
        <f t="shared" si="177"/>
        <v>440000</v>
      </c>
      <c r="V285" s="64"/>
      <c r="W285" s="64"/>
      <c r="X285" s="41"/>
      <c r="Y285" s="64"/>
      <c r="Z285" s="41">
        <f t="shared" si="176"/>
        <v>0</v>
      </c>
      <c r="AA285" s="42">
        <f t="shared" si="174"/>
        <v>-440000</v>
      </c>
      <c r="AB285" s="258"/>
      <c r="AC285" s="258"/>
    </row>
    <row r="286" spans="1:29" ht="51.75" thickBot="1" x14ac:dyDescent="0.3">
      <c r="F286" s="91" t="s">
        <v>288</v>
      </c>
      <c r="G286" s="63">
        <v>3122</v>
      </c>
      <c r="H286" s="68">
        <f t="shared" si="165"/>
        <v>833350</v>
      </c>
      <c r="I286" s="147">
        <v>503350</v>
      </c>
      <c r="J286" s="159">
        <v>330000</v>
      </c>
      <c r="K286" s="48"/>
      <c r="L286" s="48"/>
      <c r="M286" s="48"/>
      <c r="N286" s="48"/>
      <c r="O286" s="48"/>
      <c r="P286" s="48"/>
      <c r="Q286" s="48"/>
      <c r="R286" s="48"/>
      <c r="S286" s="48"/>
      <c r="T286" s="231"/>
      <c r="U286" s="39">
        <f t="shared" si="177"/>
        <v>833350</v>
      </c>
      <c r="V286" s="64"/>
      <c r="W286" s="64"/>
      <c r="X286" s="41"/>
      <c r="Y286" s="64">
        <f>497042.56</f>
        <v>497042.56</v>
      </c>
      <c r="Z286" s="41">
        <f t="shared" si="176"/>
        <v>497042.56</v>
      </c>
      <c r="AA286" s="42">
        <f t="shared" si="174"/>
        <v>-336307.44</v>
      </c>
      <c r="AB286" s="258"/>
      <c r="AC286" s="258"/>
    </row>
    <row r="287" spans="1:29" ht="51.75" thickBot="1" x14ac:dyDescent="0.3">
      <c r="F287" s="91" t="s">
        <v>289</v>
      </c>
      <c r="G287" s="63">
        <v>3122</v>
      </c>
      <c r="H287" s="68">
        <f t="shared" si="165"/>
        <v>261418</v>
      </c>
      <c r="I287" s="147">
        <v>261418</v>
      </c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231"/>
      <c r="U287" s="39">
        <f t="shared" si="177"/>
        <v>261418</v>
      </c>
      <c r="V287" s="125">
        <f>261417.48</f>
        <v>261417.48</v>
      </c>
      <c r="W287" s="125">
        <f>261417.48</f>
        <v>261417.48</v>
      </c>
      <c r="X287" s="41"/>
      <c r="Y287" s="43">
        <f>261417.48</f>
        <v>261417.48</v>
      </c>
      <c r="Z287" s="41">
        <f t="shared" si="176"/>
        <v>0</v>
      </c>
      <c r="AA287" s="42">
        <f t="shared" si="174"/>
        <v>-0.51999999998952262</v>
      </c>
      <c r="AB287" s="258"/>
      <c r="AC287" s="258"/>
    </row>
    <row r="288" spans="1:29" ht="51.75" hidden="1" thickBot="1" x14ac:dyDescent="0.3">
      <c r="F288" s="91" t="s">
        <v>290</v>
      </c>
      <c r="G288" s="63">
        <v>3142</v>
      </c>
      <c r="H288" s="68">
        <f t="shared" si="165"/>
        <v>0</v>
      </c>
      <c r="I288" s="147"/>
      <c r="J288" s="48"/>
      <c r="K288" s="147"/>
      <c r="L288" s="48"/>
      <c r="M288" s="147"/>
      <c r="N288" s="147"/>
      <c r="O288" s="147"/>
      <c r="P288" s="147"/>
      <c r="Q288" s="147"/>
      <c r="R288" s="147"/>
      <c r="S288" s="48"/>
      <c r="T288" s="147"/>
      <c r="U288" s="39">
        <f t="shared" si="177"/>
        <v>0</v>
      </c>
      <c r="V288" s="64"/>
      <c r="W288" s="64"/>
      <c r="X288" s="41"/>
      <c r="Y288" s="64"/>
      <c r="Z288" s="41">
        <f t="shared" si="176"/>
        <v>0</v>
      </c>
      <c r="AA288" s="42">
        <f t="shared" si="174"/>
        <v>0</v>
      </c>
      <c r="AB288" s="258"/>
      <c r="AC288" s="258"/>
    </row>
    <row r="289" spans="1:29" ht="18" thickBot="1" x14ac:dyDescent="0.3">
      <c r="F289" s="99" t="s">
        <v>57</v>
      </c>
      <c r="G289" s="457">
        <f>SUM(H280:H281)</f>
        <v>366312.22</v>
      </c>
      <c r="H289" s="458"/>
      <c r="I289" s="160">
        <f t="shared" ref="I289:T289" si="178">SUM(I280:I281)</f>
        <v>29500</v>
      </c>
      <c r="J289" s="160">
        <f t="shared" si="178"/>
        <v>29500</v>
      </c>
      <c r="K289" s="160">
        <f t="shared" si="178"/>
        <v>42312.22</v>
      </c>
      <c r="L289" s="160">
        <f t="shared" si="178"/>
        <v>29500</v>
      </c>
      <c r="M289" s="160">
        <f t="shared" si="178"/>
        <v>29000</v>
      </c>
      <c r="N289" s="160">
        <f t="shared" si="178"/>
        <v>29500</v>
      </c>
      <c r="O289" s="160">
        <f t="shared" si="178"/>
        <v>29500</v>
      </c>
      <c r="P289" s="160">
        <f t="shared" si="178"/>
        <v>29500</v>
      </c>
      <c r="Q289" s="160">
        <f t="shared" si="178"/>
        <v>29500</v>
      </c>
      <c r="R289" s="160">
        <f t="shared" si="178"/>
        <v>29500</v>
      </c>
      <c r="S289" s="160">
        <f t="shared" si="178"/>
        <v>29500</v>
      </c>
      <c r="T289" s="247">
        <f t="shared" si="178"/>
        <v>29500</v>
      </c>
      <c r="U289" s="160">
        <f>SUM(U280:U281)</f>
        <v>189312.22</v>
      </c>
      <c r="V289" s="160">
        <f t="shared" ref="V289:AA289" si="179">SUM(V280:V281)</f>
        <v>0</v>
      </c>
      <c r="W289" s="160">
        <f t="shared" si="179"/>
        <v>0</v>
      </c>
      <c r="X289" s="160">
        <f t="shared" si="179"/>
        <v>0</v>
      </c>
      <c r="Y289" s="160">
        <f t="shared" si="179"/>
        <v>0</v>
      </c>
      <c r="Z289" s="160">
        <f t="shared" si="179"/>
        <v>0</v>
      </c>
      <c r="AA289" s="160">
        <f t="shared" si="179"/>
        <v>-189312.22</v>
      </c>
      <c r="AB289" s="273"/>
      <c r="AC289" s="273"/>
    </row>
    <row r="290" spans="1:29" ht="18" thickBot="1" x14ac:dyDescent="0.3">
      <c r="F290" s="99" t="s">
        <v>192</v>
      </c>
      <c r="G290" s="457">
        <f>SUM(H282+H283+H286+H287)</f>
        <v>2225990</v>
      </c>
      <c r="H290" s="458"/>
      <c r="I290" s="57">
        <f>I282+I283+I286+I287</f>
        <v>1032000</v>
      </c>
      <c r="J290" s="57">
        <f t="shared" ref="J290:AA290" si="180">J282+J283+J286+J287</f>
        <v>1065000</v>
      </c>
      <c r="K290" s="57">
        <f t="shared" si="180"/>
        <v>0</v>
      </c>
      <c r="L290" s="57">
        <f t="shared" si="180"/>
        <v>0</v>
      </c>
      <c r="M290" s="57">
        <f t="shared" si="180"/>
        <v>128990</v>
      </c>
      <c r="N290" s="57">
        <f t="shared" si="180"/>
        <v>0</v>
      </c>
      <c r="O290" s="57">
        <f t="shared" si="180"/>
        <v>0</v>
      </c>
      <c r="P290" s="57">
        <f t="shared" si="180"/>
        <v>0</v>
      </c>
      <c r="Q290" s="57">
        <f t="shared" si="180"/>
        <v>0</v>
      </c>
      <c r="R290" s="57">
        <f t="shared" si="180"/>
        <v>0</v>
      </c>
      <c r="S290" s="57">
        <f t="shared" si="180"/>
        <v>0</v>
      </c>
      <c r="T290" s="165">
        <f t="shared" si="180"/>
        <v>0</v>
      </c>
      <c r="U290" s="57">
        <f t="shared" si="180"/>
        <v>2225990</v>
      </c>
      <c r="V290" s="57">
        <f t="shared" si="180"/>
        <v>261417.48</v>
      </c>
      <c r="W290" s="57">
        <f t="shared" si="180"/>
        <v>261417.48</v>
      </c>
      <c r="X290" s="57">
        <f t="shared" si="180"/>
        <v>0</v>
      </c>
      <c r="Y290" s="57">
        <f t="shared" si="180"/>
        <v>1154681.07</v>
      </c>
      <c r="Z290" s="57">
        <f t="shared" si="180"/>
        <v>893263.59000000008</v>
      </c>
      <c r="AA290" s="57">
        <f t="shared" si="180"/>
        <v>-1071308.93</v>
      </c>
      <c r="AB290" s="272"/>
      <c r="AC290" s="272"/>
    </row>
    <row r="291" spans="1:29" ht="18" thickBot="1" x14ac:dyDescent="0.3">
      <c r="F291" s="99" t="s">
        <v>291</v>
      </c>
      <c r="G291" s="457">
        <f>SUM(H288)</f>
        <v>0</v>
      </c>
      <c r="H291" s="458"/>
      <c r="I291" s="57">
        <f>I288</f>
        <v>0</v>
      </c>
      <c r="J291" s="57">
        <f t="shared" ref="J291:AA291" si="181">J288</f>
        <v>0</v>
      </c>
      <c r="K291" s="57">
        <f t="shared" si="181"/>
        <v>0</v>
      </c>
      <c r="L291" s="57">
        <f t="shared" si="181"/>
        <v>0</v>
      </c>
      <c r="M291" s="57">
        <f t="shared" si="181"/>
        <v>0</v>
      </c>
      <c r="N291" s="57">
        <f t="shared" si="181"/>
        <v>0</v>
      </c>
      <c r="O291" s="57">
        <f t="shared" si="181"/>
        <v>0</v>
      </c>
      <c r="P291" s="57">
        <f t="shared" si="181"/>
        <v>0</v>
      </c>
      <c r="Q291" s="57">
        <f t="shared" si="181"/>
        <v>0</v>
      </c>
      <c r="R291" s="57">
        <f t="shared" si="181"/>
        <v>0</v>
      </c>
      <c r="S291" s="57">
        <f t="shared" si="181"/>
        <v>0</v>
      </c>
      <c r="T291" s="165">
        <f t="shared" si="181"/>
        <v>0</v>
      </c>
      <c r="U291" s="57">
        <f t="shared" si="181"/>
        <v>0</v>
      </c>
      <c r="V291" s="57">
        <f t="shared" si="181"/>
        <v>0</v>
      </c>
      <c r="W291" s="57">
        <f t="shared" si="181"/>
        <v>0</v>
      </c>
      <c r="X291" s="57">
        <f t="shared" si="181"/>
        <v>0</v>
      </c>
      <c r="Y291" s="57">
        <f t="shared" si="181"/>
        <v>0</v>
      </c>
      <c r="Z291" s="57">
        <f t="shared" si="181"/>
        <v>0</v>
      </c>
      <c r="AA291" s="57">
        <f t="shared" si="181"/>
        <v>0</v>
      </c>
      <c r="AB291" s="272"/>
      <c r="AC291" s="272"/>
    </row>
    <row r="292" spans="1:29" ht="15.75" thickBot="1" x14ac:dyDescent="0.3">
      <c r="F292" s="101" t="s">
        <v>200</v>
      </c>
      <c r="G292" s="476">
        <f>SUM(G289:H291)</f>
        <v>2592302.2199999997</v>
      </c>
      <c r="H292" s="477"/>
      <c r="I292" s="101">
        <v>1079500</v>
      </c>
      <c r="J292" s="166">
        <f>J291+J290+J289</f>
        <v>1094500</v>
      </c>
      <c r="K292" s="101">
        <v>120312.22</v>
      </c>
      <c r="L292" s="101">
        <v>29500</v>
      </c>
      <c r="M292" s="101">
        <v>857990</v>
      </c>
      <c r="N292" s="101">
        <v>754500</v>
      </c>
      <c r="O292" s="101">
        <v>422113</v>
      </c>
      <c r="P292" s="101">
        <v>79500</v>
      </c>
      <c r="Q292" s="101">
        <v>361887</v>
      </c>
      <c r="R292" s="101">
        <v>183500</v>
      </c>
      <c r="S292" s="101">
        <v>29500</v>
      </c>
      <c r="T292" s="248">
        <v>79500</v>
      </c>
      <c r="U292" s="166">
        <f>SUM(U289:U291)</f>
        <v>2415302.2200000002</v>
      </c>
      <c r="V292" s="166">
        <f t="shared" ref="V292:AA292" si="182">SUM(V289:V291)</f>
        <v>261417.48</v>
      </c>
      <c r="W292" s="166">
        <f t="shared" si="182"/>
        <v>261417.48</v>
      </c>
      <c r="X292" s="166">
        <f t="shared" si="182"/>
        <v>0</v>
      </c>
      <c r="Y292" s="166">
        <f t="shared" si="182"/>
        <v>1154681.07</v>
      </c>
      <c r="Z292" s="166">
        <f t="shared" si="182"/>
        <v>893263.59000000008</v>
      </c>
      <c r="AA292" s="166">
        <f t="shared" si="182"/>
        <v>-1260621.1499999999</v>
      </c>
      <c r="AB292" s="266"/>
      <c r="AC292" s="266"/>
    </row>
    <row r="293" spans="1:29" ht="18" thickBot="1" x14ac:dyDescent="0.3">
      <c r="E293" s="469" t="s">
        <v>292</v>
      </c>
      <c r="F293" s="470"/>
      <c r="G293" s="457">
        <v>12812.22</v>
      </c>
      <c r="H293" s="458"/>
      <c r="I293" s="62">
        <v>0</v>
      </c>
      <c r="J293" s="62">
        <v>0</v>
      </c>
      <c r="K293" s="57">
        <v>12812.22</v>
      </c>
      <c r="L293" s="62">
        <v>0</v>
      </c>
      <c r="M293" s="62">
        <v>0</v>
      </c>
      <c r="N293" s="62">
        <v>0</v>
      </c>
      <c r="O293" s="62">
        <v>0</v>
      </c>
      <c r="P293" s="62">
        <v>0</v>
      </c>
      <c r="Q293" s="62">
        <v>0</v>
      </c>
      <c r="R293" s="62">
        <v>0</v>
      </c>
      <c r="S293" s="62">
        <v>0</v>
      </c>
      <c r="T293" s="249">
        <v>0</v>
      </c>
      <c r="U293" s="39"/>
      <c r="V293" s="64"/>
      <c r="W293" s="64"/>
      <c r="X293" s="41"/>
      <c r="Y293" s="64"/>
      <c r="Z293" s="41"/>
      <c r="AA293" s="42"/>
      <c r="AB293" s="258"/>
      <c r="AC293" s="258"/>
    </row>
    <row r="294" spans="1:29" ht="18" thickBot="1" x14ac:dyDescent="0.3">
      <c r="F294" s="50" t="s">
        <v>293</v>
      </c>
      <c r="G294" s="457">
        <v>295000</v>
      </c>
      <c r="H294" s="458"/>
      <c r="I294" s="161">
        <v>0</v>
      </c>
      <c r="J294" s="162">
        <f>SUM(J282+J284)</f>
        <v>295000</v>
      </c>
      <c r="K294" s="161">
        <v>0</v>
      </c>
      <c r="L294" s="161">
        <v>0</v>
      </c>
      <c r="M294" s="161">
        <v>0</v>
      </c>
      <c r="N294" s="161">
        <v>0</v>
      </c>
      <c r="O294" s="161">
        <v>0</v>
      </c>
      <c r="P294" s="161">
        <v>0</v>
      </c>
      <c r="Q294" s="161">
        <v>0</v>
      </c>
      <c r="R294" s="161">
        <v>0</v>
      </c>
      <c r="S294" s="161">
        <v>0</v>
      </c>
      <c r="T294" s="249">
        <v>0</v>
      </c>
      <c r="U294" s="39"/>
      <c r="V294" s="64"/>
      <c r="W294" s="64"/>
      <c r="X294" s="41"/>
      <c r="Y294" s="64"/>
      <c r="Z294" s="41"/>
      <c r="AA294" s="42"/>
      <c r="AB294" s="258"/>
      <c r="AC294" s="258"/>
    </row>
    <row r="295" spans="1:29" ht="18" customHeight="1" thickBot="1" x14ac:dyDescent="0.3">
      <c r="E295" s="459" t="s">
        <v>294</v>
      </c>
      <c r="F295" s="460"/>
      <c r="G295" s="461">
        <v>770000</v>
      </c>
      <c r="H295" s="462"/>
      <c r="I295" s="163">
        <v>0</v>
      </c>
      <c r="J295" s="164">
        <f>SUM(J285:J286)</f>
        <v>770000</v>
      </c>
      <c r="K295" s="163">
        <v>0</v>
      </c>
      <c r="L295" s="163">
        <v>0</v>
      </c>
      <c r="M295" s="163">
        <v>0</v>
      </c>
      <c r="N295" s="163">
        <v>0</v>
      </c>
      <c r="O295" s="163">
        <v>0</v>
      </c>
      <c r="P295" s="163">
        <v>0</v>
      </c>
      <c r="Q295" s="163">
        <v>0</v>
      </c>
      <c r="R295" s="163">
        <v>0</v>
      </c>
      <c r="S295" s="163">
        <v>0</v>
      </c>
      <c r="T295" s="249">
        <v>0</v>
      </c>
      <c r="U295" s="68">
        <f t="shared" ref="U295:Z295" si="183">SUM(U280:U281)</f>
        <v>189312.22</v>
      </c>
      <c r="V295" s="68">
        <f t="shared" si="183"/>
        <v>0</v>
      </c>
      <c r="W295" s="68">
        <f t="shared" si="183"/>
        <v>0</v>
      </c>
      <c r="X295" s="68">
        <f t="shared" si="183"/>
        <v>0</v>
      </c>
      <c r="Y295" s="68">
        <f t="shared" si="183"/>
        <v>0</v>
      </c>
      <c r="Z295" s="68">
        <f t="shared" si="183"/>
        <v>0</v>
      </c>
      <c r="AA295" s="68">
        <v>0</v>
      </c>
      <c r="AB295" s="267"/>
      <c r="AC295" s="267"/>
    </row>
    <row r="296" spans="1:29" ht="18" thickBot="1" x14ac:dyDescent="0.3">
      <c r="E296" s="459" t="s">
        <v>295</v>
      </c>
      <c r="F296" s="463"/>
      <c r="G296" s="464">
        <f>SUM(I296:T296)</f>
        <v>1160990</v>
      </c>
      <c r="H296" s="465"/>
      <c r="I296" s="172">
        <f>I283+I286+I287+I288</f>
        <v>1032000</v>
      </c>
      <c r="J296" s="165">
        <f>J287+J288</f>
        <v>0</v>
      </c>
      <c r="K296" s="165">
        <f t="shared" ref="K296:X296" si="184">K283+K286+K287+K288</f>
        <v>0</v>
      </c>
      <c r="L296" s="165">
        <f t="shared" si="184"/>
        <v>0</v>
      </c>
      <c r="M296" s="165">
        <f t="shared" si="184"/>
        <v>128990</v>
      </c>
      <c r="N296" s="165">
        <f t="shared" si="184"/>
        <v>0</v>
      </c>
      <c r="O296" s="165">
        <f t="shared" si="184"/>
        <v>0</v>
      </c>
      <c r="P296" s="165">
        <f t="shared" si="184"/>
        <v>0</v>
      </c>
      <c r="Q296" s="165">
        <f t="shared" si="184"/>
        <v>0</v>
      </c>
      <c r="R296" s="165">
        <f t="shared" si="184"/>
        <v>0</v>
      </c>
      <c r="S296" s="165">
        <f t="shared" si="184"/>
        <v>0</v>
      </c>
      <c r="T296" s="165">
        <f t="shared" si="184"/>
        <v>0</v>
      </c>
      <c r="U296" s="165">
        <f t="shared" si="184"/>
        <v>2015990</v>
      </c>
      <c r="V296" s="165">
        <f t="shared" si="184"/>
        <v>261417.48</v>
      </c>
      <c r="W296" s="165">
        <f t="shared" si="184"/>
        <v>261417.48</v>
      </c>
      <c r="X296" s="165">
        <f t="shared" si="184"/>
        <v>0</v>
      </c>
      <c r="Y296" s="165">
        <v>0</v>
      </c>
      <c r="Z296" s="165">
        <v>0</v>
      </c>
      <c r="AA296" s="165">
        <f>U296-Y296</f>
        <v>2015990</v>
      </c>
      <c r="AB296" s="274"/>
      <c r="AC296" s="274"/>
    </row>
    <row r="297" spans="1:29" ht="15.75" hidden="1" thickBot="1" x14ac:dyDescent="0.3"/>
    <row r="298" spans="1:29" ht="15.75" thickBot="1" x14ac:dyDescent="0.3">
      <c r="A298" s="1"/>
      <c r="B298" s="1"/>
      <c r="C298" s="1"/>
      <c r="D298" s="2"/>
      <c r="E298" s="466" t="s">
        <v>201</v>
      </c>
      <c r="F298" s="467"/>
      <c r="G298" s="468"/>
      <c r="H298" s="100" t="e">
        <f>G292+H277+H266+H250+H172+G162+H50+#REF!+H253+H216+H211+H203+H195+H191+H188+H177</f>
        <v>#REF!</v>
      </c>
      <c r="I298" s="100" t="e">
        <f>#REF!+I277+I266+I250+I172+H162+I50+I253+I216+I162</f>
        <v>#REF!</v>
      </c>
      <c r="J298" s="100" t="e">
        <f>#REF!+J277+J266+J250+J172+I162+J50+J253+J216+J162</f>
        <v>#REF!</v>
      </c>
      <c r="K298" s="100" t="e">
        <f>#REF!+K277+K266+K250+K172+J162+K50+K253+K216+K162</f>
        <v>#REF!</v>
      </c>
      <c r="L298" s="100" t="e">
        <f>#REF!+L277+L266+L250+L172+K162+L50+L253+L216+L162</f>
        <v>#REF!</v>
      </c>
      <c r="M298" s="100" t="e">
        <f>#REF!+M277+M266+M250+M172+L162+M50+M253+M216+M162</f>
        <v>#REF!</v>
      </c>
      <c r="N298" s="100" t="e">
        <f>#REF!+N277+N266+N250+N172+M162+N50+N253+N216+N162</f>
        <v>#REF!</v>
      </c>
      <c r="O298" s="100" t="e">
        <f>#REF!+O277+O266+O250+O172+N162+O50+O253+O216+O162</f>
        <v>#REF!</v>
      </c>
      <c r="P298" s="100" t="e">
        <f>#REF!+P277+P266+P250+P172+O162+P50+P253+P216+P162</f>
        <v>#REF!</v>
      </c>
      <c r="Q298" s="100" t="e">
        <f>#REF!+Q277+Q266+Q250+Q172+P162+Q50+Q253+Q216+Q162</f>
        <v>#REF!</v>
      </c>
      <c r="R298" s="100" t="e">
        <f>#REF!+R277+R266+R250+R172+Q162+R50+R253+R216+R162</f>
        <v>#REF!</v>
      </c>
      <c r="S298" s="100" t="e">
        <f>#REF!+S277+S266+S250+S172+R162+S50+S253+S216+S162</f>
        <v>#REF!</v>
      </c>
      <c r="T298" s="250">
        <f>T292+T277+T266+T250+T172+S162+T50+T253+T216+T162</f>
        <v>16885800</v>
      </c>
      <c r="U298" s="100">
        <f>U292+U277+U266+U250+U172+U50+U253+U216+U162+U211+U203+U195+U191+U188+U177</f>
        <v>124941174.92</v>
      </c>
      <c r="V298" s="100">
        <f t="shared" ref="V298:AA298" si="185">V292+V277+V266+V250+V172+V50+V253+V216+V162+V211+V203+V195+V191+V188+V177</f>
        <v>60562418.900000006</v>
      </c>
      <c r="W298" s="100">
        <f t="shared" si="185"/>
        <v>59674180.199999988</v>
      </c>
      <c r="X298" s="100">
        <f t="shared" si="185"/>
        <v>-888238.70000000077</v>
      </c>
      <c r="Y298" s="100">
        <f t="shared" si="185"/>
        <v>67208480.609999999</v>
      </c>
      <c r="Z298" s="100">
        <f t="shared" si="185"/>
        <v>6646061.709999999</v>
      </c>
      <c r="AA298" s="100">
        <f t="shared" si="185"/>
        <v>-57732694.310000002</v>
      </c>
      <c r="AB298" s="275"/>
      <c r="AC298" s="275"/>
    </row>
    <row r="299" spans="1:29" ht="19.5" customHeight="1" x14ac:dyDescent="0.25">
      <c r="A299" s="1"/>
      <c r="B299" s="1"/>
      <c r="C299" s="1"/>
      <c r="D299" s="2"/>
      <c r="E299" s="456" t="s">
        <v>202</v>
      </c>
      <c r="F299" s="456"/>
      <c r="G299" s="456"/>
      <c r="H299" s="456"/>
      <c r="I299" s="456"/>
      <c r="J299" s="456"/>
      <c r="K299" s="456"/>
      <c r="L299" s="456"/>
      <c r="M299" s="456"/>
      <c r="N299" s="456"/>
      <c r="O299" s="456"/>
      <c r="P299" s="456"/>
      <c r="Q299" s="456"/>
      <c r="R299" s="456"/>
      <c r="S299" s="456"/>
      <c r="T299" s="456"/>
      <c r="U299" s="456"/>
      <c r="V299" s="456"/>
      <c r="W299" s="456"/>
      <c r="X299" s="456"/>
      <c r="Y299" s="456"/>
      <c r="Z299" s="456"/>
    </row>
    <row r="301" spans="1:29" x14ac:dyDescent="0.25">
      <c r="H301" s="103"/>
    </row>
  </sheetData>
  <mergeCells count="44">
    <mergeCell ref="D151:D152"/>
    <mergeCell ref="E1:X2"/>
    <mergeCell ref="Y2:AA2"/>
    <mergeCell ref="E5:AA5"/>
    <mergeCell ref="E51:G51"/>
    <mergeCell ref="E52:G52"/>
    <mergeCell ref="E55:AA55"/>
    <mergeCell ref="E95:G95"/>
    <mergeCell ref="E123:G123"/>
    <mergeCell ref="E128:G128"/>
    <mergeCell ref="E148:G148"/>
    <mergeCell ref="E150:G150"/>
    <mergeCell ref="F217:G217"/>
    <mergeCell ref="E156:G156"/>
    <mergeCell ref="G161:H161"/>
    <mergeCell ref="G162:H162"/>
    <mergeCell ref="G163:H163"/>
    <mergeCell ref="F173:G173"/>
    <mergeCell ref="F178:G178"/>
    <mergeCell ref="F189:G189"/>
    <mergeCell ref="F192:G192"/>
    <mergeCell ref="F196:G196"/>
    <mergeCell ref="F204:G204"/>
    <mergeCell ref="F212:G212"/>
    <mergeCell ref="E293:F293"/>
    <mergeCell ref="G293:H293"/>
    <mergeCell ref="F251:G251"/>
    <mergeCell ref="F254:G254"/>
    <mergeCell ref="F255:H255"/>
    <mergeCell ref="F267:G267"/>
    <mergeCell ref="F268:G268"/>
    <mergeCell ref="F278:G278"/>
    <mergeCell ref="F279:G279"/>
    <mergeCell ref="G289:H289"/>
    <mergeCell ref="G290:H290"/>
    <mergeCell ref="G291:H291"/>
    <mergeCell ref="G292:H292"/>
    <mergeCell ref="E299:Z299"/>
    <mergeCell ref="G294:H294"/>
    <mergeCell ref="E295:F295"/>
    <mergeCell ref="G295:H295"/>
    <mergeCell ref="E296:F296"/>
    <mergeCell ref="G296:H296"/>
    <mergeCell ref="E298:G298"/>
  </mergeCells>
  <pageMargins left="0.31496062992125984" right="0.31496062992125984" top="0.74803149606299213" bottom="0.35433070866141736" header="0.31496062992125984" footer="0.31496062992125984"/>
  <pageSetup paperSize="9" scale="34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грудень 23</vt:lpstr>
      <vt:lpstr>липень 2022 (2)</vt:lpstr>
      <vt:lpstr>липень 2022</vt:lpstr>
      <vt:lpstr>'липень 2022'!Заголовки_для_друку</vt:lpstr>
      <vt:lpstr>'липень 2022 (2)'!Заголовки_для_друку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Марта УКГ</dc:creator>
  <cp:lastModifiedBy>вс  УКГ</cp:lastModifiedBy>
  <cp:lastPrinted>2024-08-21T05:12:17Z</cp:lastPrinted>
  <dcterms:created xsi:type="dcterms:W3CDTF">2015-06-05T18:19:34Z</dcterms:created>
  <dcterms:modified xsi:type="dcterms:W3CDTF">2024-08-30T07:29:50Z</dcterms:modified>
</cp:coreProperties>
</file>